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K:\Università degli Studi di Milano\CINECA U-GOV\Configurazioni Atenei\Gestione amministrativa\Bilancio Consolidato\Anno 2024\"/>
    </mc:Choice>
  </mc:AlternateContent>
  <xr:revisionPtr revIDLastSave="0" documentId="13_ncr:1_{2C65FCA7-45EF-4FE8-A9BC-DA73A2E71321}" xr6:coauthVersionLast="47" xr6:coauthVersionMax="47" xr10:uidLastSave="{00000000-0000-0000-0000-000000000000}"/>
  <bookViews>
    <workbookView xWindow="-110" yWindow="-110" windowWidth="19420" windowHeight="10420" tabRatio="703" firstSheet="4" activeTab="9" xr2:uid="{00000000-000D-0000-FFFF-FFFF00000000}"/>
  </bookViews>
  <sheets>
    <sheet name="SP 2018" sheetId="1" state="hidden" r:id="rId1"/>
    <sheet name="SP 2019" sheetId="7" state="hidden" r:id="rId2"/>
    <sheet name="SP 2020" sheetId="8" state="hidden" r:id="rId3"/>
    <sheet name="SP 2021" sheetId="12" state="hidden" r:id="rId4"/>
    <sheet name="SP 2024" sheetId="16" r:id="rId5"/>
    <sheet name="CE 2 2019" sheetId="2" state="hidden" r:id="rId6"/>
    <sheet name="CE 2020" sheetId="9" state="hidden" r:id="rId7"/>
    <sheet name="CE 2021" sheetId="13" state="hidden" r:id="rId8"/>
    <sheet name="CE 2024" sheetId="17" r:id="rId9"/>
    <sheet name="Moduli" sheetId="20" r:id="rId10"/>
    <sheet name="dati bilancio sintetici 2019" sheetId="3" state="hidden" r:id="rId11"/>
    <sheet name="dati bilancio sintetici 2020" sheetId="10" state="hidden" r:id="rId12"/>
    <sheet name="dati bilancio sintetici 2021" sheetId="14" state="hidden" r:id="rId13"/>
    <sheet name="dati bilancio sintetici 2022" sheetId="18" state="hidden" r:id="rId14"/>
    <sheet name="Rettifiche consolidamento 2019" sheetId="5" state="hidden" r:id="rId15"/>
    <sheet name="Rettifiche consolidamento 2020" sheetId="11" state="hidden" r:id="rId16"/>
    <sheet name="Rettifiche consolidamento 2021" sheetId="15" state="hidden" r:id="rId17"/>
    <sheet name="Rettifiche consolidamento 2022" sheetId="19" state="hidden" r:id="rId18"/>
  </sheets>
  <definedNames>
    <definedName name="_xlnm.Print_Area" localSheetId="7">'CE 2021'!$A$1:$J$68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7" l="1"/>
  <c r="C10" i="17"/>
  <c r="B10" i="17"/>
  <c r="C5" i="20"/>
  <c r="C7" i="20" s="1"/>
  <c r="C6" i="20"/>
  <c r="C4" i="20"/>
  <c r="B6" i="20"/>
  <c r="B5" i="20"/>
  <c r="C15" i="17"/>
  <c r="C41" i="16"/>
  <c r="C62" i="16"/>
  <c r="C28" i="20" l="1"/>
  <c r="B28" i="20"/>
  <c r="C21" i="20"/>
  <c r="B21" i="20"/>
  <c r="B35" i="16"/>
  <c r="D7" i="17"/>
  <c r="C12" i="16"/>
  <c r="B7" i="20" l="1"/>
  <c r="C12" i="17"/>
  <c r="B12" i="17"/>
  <c r="B19" i="17" s="1"/>
  <c r="D13" i="17"/>
  <c r="G13" i="17" s="1"/>
  <c r="D14" i="17"/>
  <c r="G14" i="17" s="1"/>
  <c r="H19" i="17"/>
  <c r="H35" i="16"/>
  <c r="H66" i="16" s="1"/>
  <c r="H26" i="16"/>
  <c r="H22" i="16"/>
  <c r="H4" i="16"/>
  <c r="E19" i="17"/>
  <c r="E36" i="17"/>
  <c r="D20" i="16"/>
  <c r="B12" i="16"/>
  <c r="H28" i="17"/>
  <c r="H25" i="17"/>
  <c r="H21" i="17"/>
  <c r="B66" i="16" l="1"/>
  <c r="C25" i="17"/>
  <c r="D27" i="17"/>
  <c r="C4" i="19" l="1"/>
  <c r="B13" i="19"/>
  <c r="B5" i="19" s="1"/>
  <c r="C2" i="19"/>
  <c r="C6" i="19" l="1"/>
  <c r="F10" i="17" l="1"/>
  <c r="D5" i="19"/>
  <c r="B6" i="19"/>
  <c r="D4" i="19"/>
  <c r="D3" i="19"/>
  <c r="D2" i="19"/>
  <c r="D15" i="17"/>
  <c r="H34" i="17"/>
  <c r="D32" i="17"/>
  <c r="G32" i="17" s="1"/>
  <c r="D30" i="17"/>
  <c r="G30" i="17" s="1"/>
  <c r="D29" i="17"/>
  <c r="G29" i="17" s="1"/>
  <c r="C28" i="17"/>
  <c r="B28" i="17"/>
  <c r="G27" i="17"/>
  <c r="D26" i="17"/>
  <c r="G26" i="17" s="1"/>
  <c r="B25" i="17"/>
  <c r="D24" i="17"/>
  <c r="G24" i="17" s="1"/>
  <c r="D23" i="17"/>
  <c r="G23" i="17" s="1"/>
  <c r="D22" i="17"/>
  <c r="G22" i="17" s="1"/>
  <c r="C21" i="17"/>
  <c r="B21" i="17"/>
  <c r="D18" i="17"/>
  <c r="G18" i="17" s="1"/>
  <c r="D17" i="17"/>
  <c r="G17" i="17" s="1"/>
  <c r="D16" i="17"/>
  <c r="G16" i="17" s="1"/>
  <c r="D11" i="17"/>
  <c r="G11" i="17" s="1"/>
  <c r="H11" i="17" s="1"/>
  <c r="D9" i="17"/>
  <c r="G9" i="17" s="1"/>
  <c r="D8" i="17"/>
  <c r="G8" i="17" s="1"/>
  <c r="D6" i="17"/>
  <c r="G6" i="17" s="1"/>
  <c r="H20" i="17"/>
  <c r="C5" i="18"/>
  <c r="D4" i="17"/>
  <c r="G4" i="17" s="1"/>
  <c r="C22" i="16"/>
  <c r="K7" i="17" l="1"/>
  <c r="G15" i="17"/>
  <c r="G7" i="17"/>
  <c r="D16" i="16"/>
  <c r="G16" i="16" s="1"/>
  <c r="D12" i="16"/>
  <c r="D6" i="19"/>
  <c r="D25" i="17"/>
  <c r="G25" i="17" s="1"/>
  <c r="D21" i="17"/>
  <c r="G21" i="17" s="1"/>
  <c r="C19" i="17"/>
  <c r="D28" i="17"/>
  <c r="G28" i="17" s="1"/>
  <c r="D12" i="17"/>
  <c r="G12" i="17" s="1"/>
  <c r="B6" i="18"/>
  <c r="D5" i="17"/>
  <c r="G5" i="17" s="1"/>
  <c r="B20" i="17" l="1"/>
  <c r="B31" i="17" s="1"/>
  <c r="B34" i="17" s="1"/>
  <c r="B5" i="18"/>
  <c r="B7" i="18" s="1"/>
  <c r="E10" i="17"/>
  <c r="E20" i="17" s="1"/>
  <c r="E34" i="17" s="1"/>
  <c r="C20" i="17"/>
  <c r="C31" i="17" s="1"/>
  <c r="C34" i="17" s="1"/>
  <c r="C6" i="18"/>
  <c r="C7" i="18" s="1"/>
  <c r="F36" i="17"/>
  <c r="F19" i="17"/>
  <c r="F20" i="17" s="1"/>
  <c r="F34" i="17" s="1"/>
  <c r="D19" i="17"/>
  <c r="D10" i="17"/>
  <c r="D7" i="18" l="1"/>
  <c r="G10" i="17"/>
  <c r="G19" i="17"/>
  <c r="D20" i="17"/>
  <c r="G20" i="17" l="1"/>
  <c r="G31" i="17" s="1"/>
  <c r="G34" i="17" s="1"/>
  <c r="D31" i="17"/>
  <c r="D34" i="17" s="1"/>
  <c r="E66" i="16" l="1"/>
  <c r="D64" i="16"/>
  <c r="G64" i="16" s="1"/>
  <c r="D62" i="16"/>
  <c r="G62" i="16" s="1"/>
  <c r="D60" i="16"/>
  <c r="H60" i="16" s="1"/>
  <c r="D59" i="16"/>
  <c r="G59" i="16" s="1"/>
  <c r="D58" i="16"/>
  <c r="H58" i="16" s="1"/>
  <c r="D57" i="16"/>
  <c r="G57" i="16" s="1"/>
  <c r="D56" i="16"/>
  <c r="H56" i="16" s="1"/>
  <c r="D55" i="16"/>
  <c r="H55" i="16" s="1"/>
  <c r="D54" i="16"/>
  <c r="G54" i="16" s="1"/>
  <c r="D53" i="16"/>
  <c r="H53" i="16" s="1"/>
  <c r="D52" i="16"/>
  <c r="H52" i="16" s="1"/>
  <c r="D51" i="16"/>
  <c r="G51" i="16" s="1"/>
  <c r="D50" i="16"/>
  <c r="H50" i="16" s="1"/>
  <c r="D49" i="16"/>
  <c r="G49" i="16" s="1"/>
  <c r="D48" i="16"/>
  <c r="H48" i="16" s="1"/>
  <c r="D47" i="16"/>
  <c r="G47" i="16" s="1"/>
  <c r="D45" i="16"/>
  <c r="G45" i="16" s="1"/>
  <c r="D43" i="16"/>
  <c r="G43" i="16" s="1"/>
  <c r="C35" i="16"/>
  <c r="D35" i="16" s="1"/>
  <c r="D39" i="16"/>
  <c r="G39" i="16" s="1"/>
  <c r="D37" i="16"/>
  <c r="G37" i="16" s="1"/>
  <c r="F35" i="16"/>
  <c r="F66" i="16" s="1"/>
  <c r="B3" i="18"/>
  <c r="F30" i="16"/>
  <c r="E30" i="16"/>
  <c r="D28" i="16"/>
  <c r="G28" i="16" s="1"/>
  <c r="C26" i="16"/>
  <c r="B26" i="16"/>
  <c r="D24" i="16"/>
  <c r="G24" i="16" s="1"/>
  <c r="B22" i="16"/>
  <c r="G20" i="16"/>
  <c r="G18" i="16"/>
  <c r="H18" i="16" s="1"/>
  <c r="H12" i="16" s="1"/>
  <c r="H30" i="16" s="1"/>
  <c r="D14" i="16"/>
  <c r="G14" i="16" s="1"/>
  <c r="D10" i="16"/>
  <c r="G10" i="16" s="1"/>
  <c r="D8" i="16"/>
  <c r="G8" i="16" s="1"/>
  <c r="D6" i="16"/>
  <c r="G6" i="16" s="1"/>
  <c r="C4" i="16"/>
  <c r="G4" i="16" l="1"/>
  <c r="H59" i="16"/>
  <c r="H54" i="16"/>
  <c r="G55" i="16"/>
  <c r="D26" i="16"/>
  <c r="G26" i="16" s="1"/>
  <c r="G12" i="16"/>
  <c r="C66" i="16"/>
  <c r="D66" i="16" s="1"/>
  <c r="G66" i="16" s="1"/>
  <c r="C3" i="18"/>
  <c r="G56" i="16"/>
  <c r="G48" i="16"/>
  <c r="G58" i="16"/>
  <c r="D22" i="16"/>
  <c r="G22" i="16" s="1"/>
  <c r="G50" i="16"/>
  <c r="H51" i="16"/>
  <c r="C30" i="16"/>
  <c r="C2" i="18" s="1"/>
  <c r="H49" i="16"/>
  <c r="G52" i="16"/>
  <c r="H57" i="16"/>
  <c r="G60" i="16"/>
  <c r="D41" i="16"/>
  <c r="G41" i="16" s="1"/>
  <c r="G35" i="16" s="1"/>
  <c r="G53" i="16"/>
  <c r="B4" i="16"/>
  <c r="B30" i="16" s="1"/>
  <c r="C3" i="15"/>
  <c r="D3" i="15" s="1"/>
  <c r="C4" i="15"/>
  <c r="D4" i="15" s="1"/>
  <c r="C4" i="18" l="1"/>
  <c r="D4" i="16"/>
  <c r="E68" i="13"/>
  <c r="D30" i="16" l="1"/>
  <c r="G30" i="16" s="1"/>
  <c r="B2" i="18"/>
  <c r="B4" i="18" s="1"/>
  <c r="C2" i="15"/>
  <c r="C6" i="15" s="1"/>
  <c r="B5" i="15"/>
  <c r="D5" i="15" s="1"/>
  <c r="B6" i="15"/>
  <c r="D2" i="15"/>
  <c r="G43" i="12"/>
  <c r="D6" i="15" l="1"/>
  <c r="C44" i="13" l="1"/>
  <c r="C31" i="13"/>
  <c r="B30" i="13"/>
  <c r="D30" i="13" s="1"/>
  <c r="G30" i="13" s="1"/>
  <c r="B9" i="13"/>
  <c r="D64" i="13"/>
  <c r="G64" i="13" s="1"/>
  <c r="D62" i="13"/>
  <c r="G62" i="13" s="1"/>
  <c r="D61" i="13"/>
  <c r="G61" i="13" s="1"/>
  <c r="C60" i="13"/>
  <c r="B60" i="13"/>
  <c r="D59" i="13"/>
  <c r="G59" i="13" s="1"/>
  <c r="H59" i="13" s="1"/>
  <c r="D58" i="13"/>
  <c r="G58" i="13" s="1"/>
  <c r="B57" i="13"/>
  <c r="D57" i="13" s="1"/>
  <c r="G57" i="13" s="1"/>
  <c r="D56" i="13"/>
  <c r="G56" i="13" s="1"/>
  <c r="D55" i="13"/>
  <c r="G55" i="13" s="1"/>
  <c r="D54" i="13"/>
  <c r="G54" i="13" s="1"/>
  <c r="C53" i="13"/>
  <c r="B53" i="13"/>
  <c r="F51" i="13"/>
  <c r="D50" i="13"/>
  <c r="G50" i="13" s="1"/>
  <c r="D49" i="13"/>
  <c r="G49" i="13" s="1"/>
  <c r="D48" i="13"/>
  <c r="G48" i="13" s="1"/>
  <c r="H48" i="13" s="1"/>
  <c r="D47" i="13"/>
  <c r="G47" i="13" s="1"/>
  <c r="H47" i="13" s="1"/>
  <c r="D46" i="13"/>
  <c r="G46" i="13" s="1"/>
  <c r="H46" i="13" s="1"/>
  <c r="D45" i="13"/>
  <c r="G45" i="13" s="1"/>
  <c r="H45" i="13" s="1"/>
  <c r="B44" i="13"/>
  <c r="D43" i="13"/>
  <c r="G43" i="13" s="1"/>
  <c r="H43" i="13" s="1"/>
  <c r="D42" i="13"/>
  <c r="G42" i="13" s="1"/>
  <c r="H42" i="13" s="1"/>
  <c r="D41" i="13"/>
  <c r="G41" i="13" s="1"/>
  <c r="H41" i="13" s="1"/>
  <c r="D40" i="13"/>
  <c r="G40" i="13" s="1"/>
  <c r="H40" i="13" s="1"/>
  <c r="D39" i="13"/>
  <c r="G39" i="13" s="1"/>
  <c r="H39" i="13" s="1"/>
  <c r="D38" i="13"/>
  <c r="G38" i="13" s="1"/>
  <c r="H38" i="13" s="1"/>
  <c r="D37" i="13"/>
  <c r="G37" i="13" s="1"/>
  <c r="H37" i="13" s="1"/>
  <c r="D36" i="13"/>
  <c r="G36" i="13" s="1"/>
  <c r="H36" i="13" s="1"/>
  <c r="D35" i="13"/>
  <c r="G35" i="13" s="1"/>
  <c r="H35" i="13" s="1"/>
  <c r="D34" i="13"/>
  <c r="G34" i="13" s="1"/>
  <c r="H34" i="13" s="1"/>
  <c r="D33" i="13"/>
  <c r="G33" i="13" s="1"/>
  <c r="H33" i="13" s="1"/>
  <c r="D32" i="13"/>
  <c r="G32" i="13" s="1"/>
  <c r="H32" i="13" s="1"/>
  <c r="B31" i="13"/>
  <c r="D29" i="13"/>
  <c r="G29" i="13" s="1"/>
  <c r="H29" i="13" s="1"/>
  <c r="D28" i="13"/>
  <c r="G28" i="13" s="1"/>
  <c r="H28" i="13" s="1"/>
  <c r="D27" i="13"/>
  <c r="G27" i="13" s="1"/>
  <c r="H27" i="13" s="1"/>
  <c r="D26" i="13"/>
  <c r="G26" i="13" s="1"/>
  <c r="H26" i="13" s="1"/>
  <c r="D25" i="13"/>
  <c r="G25" i="13" s="1"/>
  <c r="H25" i="13" s="1"/>
  <c r="C24" i="13"/>
  <c r="B24" i="13"/>
  <c r="D22" i="13"/>
  <c r="G22" i="13" s="1"/>
  <c r="H22" i="13" s="1"/>
  <c r="F21" i="13"/>
  <c r="E21" i="13"/>
  <c r="D20" i="13"/>
  <c r="G20" i="13" s="1"/>
  <c r="D19" i="13"/>
  <c r="G19" i="13" s="1"/>
  <c r="H19" i="13" s="1"/>
  <c r="F68" i="13"/>
  <c r="D18" i="13"/>
  <c r="G18" i="13" s="1"/>
  <c r="D17" i="13"/>
  <c r="G17" i="13" s="1"/>
  <c r="D16" i="13"/>
  <c r="G16" i="13" s="1"/>
  <c r="H16" i="13" s="1"/>
  <c r="D15" i="13"/>
  <c r="G15" i="13" s="1"/>
  <c r="H15" i="13" s="1"/>
  <c r="D14" i="13"/>
  <c r="G14" i="13" s="1"/>
  <c r="H14" i="13" s="1"/>
  <c r="D13" i="13"/>
  <c r="G13" i="13" s="1"/>
  <c r="H13" i="13" s="1"/>
  <c r="D12" i="13"/>
  <c r="G12" i="13" s="1"/>
  <c r="H12" i="13" s="1"/>
  <c r="D11" i="13"/>
  <c r="G11" i="13" s="1"/>
  <c r="H11" i="13" s="1"/>
  <c r="D10" i="13"/>
  <c r="G10" i="13" s="1"/>
  <c r="H10" i="13" s="1"/>
  <c r="D9" i="13"/>
  <c r="G9" i="13" s="1"/>
  <c r="H9" i="13" s="1"/>
  <c r="C8" i="13"/>
  <c r="C21" i="13" s="1"/>
  <c r="C5" i="14" s="1"/>
  <c r="B8" i="13"/>
  <c r="D7" i="13"/>
  <c r="D6" i="13"/>
  <c r="D5" i="13"/>
  <c r="G5" i="13" s="1"/>
  <c r="B4" i="13"/>
  <c r="D4" i="13" s="1"/>
  <c r="G4" i="13" s="1"/>
  <c r="B33" i="12"/>
  <c r="D53" i="13" l="1"/>
  <c r="G53" i="13" s="1"/>
  <c r="D60" i="13"/>
  <c r="G60" i="13" s="1"/>
  <c r="C51" i="13"/>
  <c r="D44" i="13"/>
  <c r="G44" i="13" s="1"/>
  <c r="F52" i="13"/>
  <c r="F66" i="13" s="1"/>
  <c r="B23" i="13"/>
  <c r="B51" i="13" s="1"/>
  <c r="B6" i="14" s="1"/>
  <c r="H5" i="13"/>
  <c r="G7" i="13"/>
  <c r="H7" i="13" s="1"/>
  <c r="G6" i="13"/>
  <c r="H6" i="13" s="1"/>
  <c r="K18" i="13"/>
  <c r="B21" i="13"/>
  <c r="B5" i="14" s="1"/>
  <c r="D31" i="13"/>
  <c r="G31" i="13" s="1"/>
  <c r="D23" i="13"/>
  <c r="G23" i="13" s="1"/>
  <c r="E51" i="13"/>
  <c r="E52" i="13" s="1"/>
  <c r="E66" i="13" s="1"/>
  <c r="D24" i="13"/>
  <c r="G24" i="13" s="1"/>
  <c r="D8" i="13"/>
  <c r="G8" i="13" s="1"/>
  <c r="H52" i="13" s="1"/>
  <c r="H66" i="13" s="1"/>
  <c r="C74" i="12"/>
  <c r="G108" i="12"/>
  <c r="G102" i="12"/>
  <c r="G85" i="12"/>
  <c r="G83" i="12"/>
  <c r="G81" i="12"/>
  <c r="G80" i="12"/>
  <c r="G79" i="12"/>
  <c r="G78" i="12"/>
  <c r="G77" i="12"/>
  <c r="G76" i="12"/>
  <c r="G69" i="12"/>
  <c r="G67" i="12"/>
  <c r="G65" i="12"/>
  <c r="G63" i="12"/>
  <c r="G57" i="12"/>
  <c r="G46" i="12"/>
  <c r="G44" i="12"/>
  <c r="G32" i="12"/>
  <c r="G30" i="12"/>
  <c r="G28" i="12"/>
  <c r="G26" i="12"/>
  <c r="G15" i="12"/>
  <c r="G7" i="12"/>
  <c r="G5" i="12"/>
  <c r="B119" i="12"/>
  <c r="D119" i="12" s="1"/>
  <c r="G119" i="12" s="1"/>
  <c r="D117" i="12"/>
  <c r="H117" i="12" s="1"/>
  <c r="D116" i="12"/>
  <c r="H116" i="12" s="1"/>
  <c r="D115" i="12"/>
  <c r="H115" i="12" s="1"/>
  <c r="D114" i="12"/>
  <c r="H114" i="12" s="1"/>
  <c r="D113" i="12"/>
  <c r="H113" i="12" s="1"/>
  <c r="D112" i="12"/>
  <c r="H112" i="12" s="1"/>
  <c r="D111" i="12"/>
  <c r="G111" i="12" s="1"/>
  <c r="D110" i="12"/>
  <c r="G110" i="12" s="1"/>
  <c r="D109" i="12"/>
  <c r="H109" i="12" s="1"/>
  <c r="H108" i="12"/>
  <c r="B107" i="12"/>
  <c r="D107" i="12" s="1"/>
  <c r="G107" i="12" s="1"/>
  <c r="D106" i="12"/>
  <c r="H106" i="12" s="1"/>
  <c r="D105" i="12"/>
  <c r="H105" i="12" s="1"/>
  <c r="D104" i="12"/>
  <c r="H104" i="12" s="1"/>
  <c r="D103" i="12"/>
  <c r="G103" i="12" s="1"/>
  <c r="H102" i="12"/>
  <c r="B101" i="12"/>
  <c r="D101" i="12" s="1"/>
  <c r="G101" i="12" s="1"/>
  <c r="D100" i="12"/>
  <c r="H100" i="12" s="1"/>
  <c r="D99" i="12"/>
  <c r="H99" i="12" s="1"/>
  <c r="D98" i="12"/>
  <c r="H98" i="12" s="1"/>
  <c r="D97" i="12"/>
  <c r="H97" i="12" s="1"/>
  <c r="D96" i="12"/>
  <c r="H96" i="12" s="1"/>
  <c r="D95" i="12"/>
  <c r="G95" i="12" s="1"/>
  <c r="D94" i="12"/>
  <c r="H94" i="12" s="1"/>
  <c r="D93" i="12"/>
  <c r="H93" i="12" s="1"/>
  <c r="D92" i="12"/>
  <c r="H92" i="12" s="1"/>
  <c r="D91" i="12"/>
  <c r="H91" i="12" s="1"/>
  <c r="D90" i="12"/>
  <c r="H90" i="12" s="1"/>
  <c r="D89" i="12"/>
  <c r="H89" i="12" s="1"/>
  <c r="D88" i="12"/>
  <c r="H88" i="12" s="1"/>
  <c r="D87" i="12"/>
  <c r="G87" i="12" s="1"/>
  <c r="E118" i="12"/>
  <c r="B86" i="12"/>
  <c r="D86" i="12" s="1"/>
  <c r="G86" i="12" s="1"/>
  <c r="H85" i="12"/>
  <c r="D84" i="12"/>
  <c r="G84" i="12" s="1"/>
  <c r="H83" i="12"/>
  <c r="D82" i="12"/>
  <c r="G82" i="12" s="1"/>
  <c r="H81" i="12"/>
  <c r="H80" i="12"/>
  <c r="H79" i="12"/>
  <c r="H78" i="12"/>
  <c r="H77" i="12"/>
  <c r="H76" i="12"/>
  <c r="D75" i="12"/>
  <c r="H75" i="12" s="1"/>
  <c r="B74" i="12"/>
  <c r="D73" i="12"/>
  <c r="G73" i="12" s="1"/>
  <c r="D72" i="12"/>
  <c r="H72" i="12" s="1"/>
  <c r="D71" i="12"/>
  <c r="H71" i="12" s="1"/>
  <c r="D70" i="12"/>
  <c r="H70" i="12" s="1"/>
  <c r="H69" i="12"/>
  <c r="B68" i="12"/>
  <c r="H67" i="12"/>
  <c r="D66" i="12"/>
  <c r="G66" i="12" s="1"/>
  <c r="H65" i="12"/>
  <c r="F64" i="12"/>
  <c r="F118" i="12" s="1"/>
  <c r="H63" i="12"/>
  <c r="D59" i="12"/>
  <c r="G59" i="12" s="1"/>
  <c r="E58" i="12"/>
  <c r="H57" i="12"/>
  <c r="D56" i="12"/>
  <c r="G56" i="12" s="1"/>
  <c r="D55" i="12"/>
  <c r="H55" i="12" s="1"/>
  <c r="C54" i="12"/>
  <c r="B54" i="12"/>
  <c r="D53" i="12"/>
  <c r="H53" i="12" s="1"/>
  <c r="D52" i="12"/>
  <c r="G52" i="12" s="1"/>
  <c r="D51" i="12"/>
  <c r="H51" i="12" s="1"/>
  <c r="B50" i="12"/>
  <c r="D50" i="12" s="1"/>
  <c r="G50" i="12" s="1"/>
  <c r="D49" i="12"/>
  <c r="H49" i="12" s="1"/>
  <c r="D48" i="12"/>
  <c r="G48" i="12" s="1"/>
  <c r="D47" i="12"/>
  <c r="G47" i="12" s="1"/>
  <c r="H46" i="12"/>
  <c r="B45" i="12"/>
  <c r="H44" i="12"/>
  <c r="D42" i="12"/>
  <c r="G42" i="12" s="1"/>
  <c r="D41" i="12"/>
  <c r="G41" i="12" s="1"/>
  <c r="D40" i="12"/>
  <c r="G40" i="12" s="1"/>
  <c r="D39" i="12"/>
  <c r="G39" i="12" s="1"/>
  <c r="D38" i="12"/>
  <c r="G38" i="12" s="1"/>
  <c r="D37" i="12"/>
  <c r="G37" i="12" s="1"/>
  <c r="D36" i="12"/>
  <c r="G36" i="12" s="1"/>
  <c r="D35" i="12"/>
  <c r="G35" i="12" s="1"/>
  <c r="D34" i="12"/>
  <c r="G34" i="12" s="1"/>
  <c r="D33" i="12"/>
  <c r="G33" i="12" s="1"/>
  <c r="F58" i="12"/>
  <c r="B31" i="12"/>
  <c r="D31" i="12" s="1"/>
  <c r="G31" i="12" s="1"/>
  <c r="H30" i="12"/>
  <c r="D29" i="12"/>
  <c r="G29" i="12" s="1"/>
  <c r="H28" i="12"/>
  <c r="C27" i="12"/>
  <c r="H26" i="12"/>
  <c r="D25" i="12"/>
  <c r="H25" i="12" s="1"/>
  <c r="D24" i="12"/>
  <c r="G24" i="12" s="1"/>
  <c r="D23" i="12"/>
  <c r="G23" i="12" s="1"/>
  <c r="D22" i="12"/>
  <c r="G22" i="12" s="1"/>
  <c r="D21" i="12"/>
  <c r="G21" i="12" s="1"/>
  <c r="D20" i="12"/>
  <c r="G20" i="12" s="1"/>
  <c r="D19" i="12"/>
  <c r="G19" i="12" s="1"/>
  <c r="D18" i="12"/>
  <c r="G18" i="12" s="1"/>
  <c r="D17" i="12"/>
  <c r="G17" i="12" s="1"/>
  <c r="D16" i="12"/>
  <c r="G16" i="12" s="1"/>
  <c r="B14" i="12"/>
  <c r="D14" i="12" s="1"/>
  <c r="G14" i="12" s="1"/>
  <c r="D13" i="12"/>
  <c r="G13" i="12" s="1"/>
  <c r="D12" i="12"/>
  <c r="G12" i="12" s="1"/>
  <c r="D11" i="12"/>
  <c r="G11" i="12" s="1"/>
  <c r="D10" i="12"/>
  <c r="G10" i="12" s="1"/>
  <c r="D9" i="12"/>
  <c r="G9" i="12" s="1"/>
  <c r="D8" i="12"/>
  <c r="G8" i="12" s="1"/>
  <c r="B6" i="12"/>
  <c r="D6" i="12" s="1"/>
  <c r="G6" i="12" s="1"/>
  <c r="H5" i="12"/>
  <c r="C4" i="12"/>
  <c r="D54" i="12" l="1"/>
  <c r="G54" i="12" s="1"/>
  <c r="B4" i="12"/>
  <c r="H111" i="12"/>
  <c r="G4" i="12"/>
  <c r="G51" i="12"/>
  <c r="G53" i="12"/>
  <c r="B7" i="14"/>
  <c r="C52" i="13"/>
  <c r="C63" i="13" s="1"/>
  <c r="C66" i="13" s="1"/>
  <c r="C6" i="14"/>
  <c r="C7" i="14" s="1"/>
  <c r="D7" i="14" s="1"/>
  <c r="G55" i="12"/>
  <c r="G112" i="12"/>
  <c r="G104" i="12"/>
  <c r="G99" i="12"/>
  <c r="G96" i="12"/>
  <c r="G49" i="12"/>
  <c r="G25" i="12"/>
  <c r="D51" i="13"/>
  <c r="G51" i="13" s="1"/>
  <c r="B52" i="13"/>
  <c r="D21" i="13"/>
  <c r="G21" i="13" s="1"/>
  <c r="G109" i="12"/>
  <c r="H103" i="12"/>
  <c r="H95" i="12"/>
  <c r="G88" i="12"/>
  <c r="B64" i="12"/>
  <c r="B3" i="14" s="1"/>
  <c r="G72" i="12"/>
  <c r="B27" i="12"/>
  <c r="B58" i="12" s="1"/>
  <c r="B2" i="14" s="1"/>
  <c r="H73" i="12"/>
  <c r="H87" i="12"/>
  <c r="G70" i="12"/>
  <c r="G89" i="12"/>
  <c r="G97" i="12"/>
  <c r="G105" i="12"/>
  <c r="G113" i="12"/>
  <c r="G71" i="12"/>
  <c r="G90" i="12"/>
  <c r="G98" i="12"/>
  <c r="G106" i="12"/>
  <c r="G114" i="12"/>
  <c r="G91" i="12"/>
  <c r="G115" i="12"/>
  <c r="G92" i="12"/>
  <c r="G100" i="12"/>
  <c r="G116" i="12"/>
  <c r="G75" i="12"/>
  <c r="G93" i="12"/>
  <c r="G117" i="12"/>
  <c r="H110" i="12"/>
  <c r="G94" i="12"/>
  <c r="D74" i="12"/>
  <c r="G74" i="12" s="1"/>
  <c r="C64" i="12"/>
  <c r="C58" i="12"/>
  <c r="C2" i="14" s="1"/>
  <c r="D4" i="12"/>
  <c r="D45" i="12"/>
  <c r="H4" i="12"/>
  <c r="D68" i="12"/>
  <c r="G68" i="12" s="1"/>
  <c r="C4" i="11"/>
  <c r="D4" i="11" s="1"/>
  <c r="C3" i="11"/>
  <c r="D3" i="11" s="1"/>
  <c r="C2" i="11"/>
  <c r="B6" i="11"/>
  <c r="D5" i="11"/>
  <c r="D2" i="11"/>
  <c r="E31" i="9"/>
  <c r="E68" i="9" s="1"/>
  <c r="F18" i="9"/>
  <c r="E86" i="8"/>
  <c r="F31" i="8"/>
  <c r="B118" i="12" l="1"/>
  <c r="G64" i="12"/>
  <c r="G45" i="12"/>
  <c r="G27" i="12" s="1"/>
  <c r="B4" i="14"/>
  <c r="D52" i="13"/>
  <c r="C3" i="14"/>
  <c r="C4" i="14" s="1"/>
  <c r="C118" i="12"/>
  <c r="D118" i="12" s="1"/>
  <c r="G118" i="12" s="1"/>
  <c r="D27" i="12"/>
  <c r="B63" i="13"/>
  <c r="D63" i="13" s="1"/>
  <c r="D66" i="13" s="1"/>
  <c r="G52" i="13"/>
  <c r="G63" i="13" s="1"/>
  <c r="G66" i="13" s="1"/>
  <c r="D58" i="12"/>
  <c r="G58" i="12" s="1"/>
  <c r="D64" i="12"/>
  <c r="C6" i="11"/>
  <c r="D6" i="11" s="1"/>
  <c r="B66" i="13" l="1"/>
  <c r="C31" i="9"/>
  <c r="F68" i="9"/>
  <c r="F66" i="9"/>
  <c r="E66" i="9"/>
  <c r="D64" i="9"/>
  <c r="G64" i="9" s="1"/>
  <c r="D62" i="9"/>
  <c r="G62" i="9" s="1"/>
  <c r="D61" i="9"/>
  <c r="G61" i="9" s="1"/>
  <c r="C60" i="9"/>
  <c r="B60" i="9"/>
  <c r="D59" i="9"/>
  <c r="G59" i="9" s="1"/>
  <c r="D58" i="9"/>
  <c r="G58" i="9" s="1"/>
  <c r="B57" i="9"/>
  <c r="D57" i="9" s="1"/>
  <c r="G57" i="9" s="1"/>
  <c r="D56" i="9"/>
  <c r="G56" i="9" s="1"/>
  <c r="D55" i="9"/>
  <c r="G55" i="9" s="1"/>
  <c r="D54" i="9"/>
  <c r="G54" i="9" s="1"/>
  <c r="C53" i="9"/>
  <c r="B53" i="9"/>
  <c r="F51" i="9"/>
  <c r="E51" i="9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B44" i="9"/>
  <c r="D44" i="9" s="1"/>
  <c r="G44" i="9" s="1"/>
  <c r="D43" i="9"/>
  <c r="G43" i="9" s="1"/>
  <c r="D42" i="9"/>
  <c r="G42" i="9" s="1"/>
  <c r="D41" i="9"/>
  <c r="G41" i="9" s="1"/>
  <c r="D40" i="9"/>
  <c r="G40" i="9" s="1"/>
  <c r="D39" i="9"/>
  <c r="G39" i="9" s="1"/>
  <c r="D38" i="9"/>
  <c r="G38" i="9" s="1"/>
  <c r="D37" i="9"/>
  <c r="G37" i="9" s="1"/>
  <c r="D36" i="9"/>
  <c r="G36" i="9" s="1"/>
  <c r="D35" i="9"/>
  <c r="G35" i="9" s="1"/>
  <c r="D34" i="9"/>
  <c r="G34" i="9" s="1"/>
  <c r="D33" i="9"/>
  <c r="G33" i="9" s="1"/>
  <c r="D32" i="9"/>
  <c r="G32" i="9" s="1"/>
  <c r="C51" i="9"/>
  <c r="C6" i="10" s="1"/>
  <c r="B31" i="9"/>
  <c r="D31" i="9" s="1"/>
  <c r="D30" i="9"/>
  <c r="G30" i="9" s="1"/>
  <c r="D29" i="9"/>
  <c r="G29" i="9" s="1"/>
  <c r="D28" i="9"/>
  <c r="G28" i="9" s="1"/>
  <c r="D27" i="9"/>
  <c r="G27" i="9" s="1"/>
  <c r="D26" i="9"/>
  <c r="G26" i="9" s="1"/>
  <c r="D25" i="9"/>
  <c r="G25" i="9" s="1"/>
  <c r="C24" i="9"/>
  <c r="B24" i="9"/>
  <c r="B23" i="9" s="1"/>
  <c r="B51" i="9" s="1"/>
  <c r="B6" i="10" s="1"/>
  <c r="D22" i="9"/>
  <c r="G22" i="9" s="1"/>
  <c r="F21" i="9"/>
  <c r="F52" i="9" s="1"/>
  <c r="E21" i="9"/>
  <c r="D20" i="9"/>
  <c r="G20" i="9" s="1"/>
  <c r="D19" i="9"/>
  <c r="G19" i="9" s="1"/>
  <c r="J18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10" i="9"/>
  <c r="G10" i="9" s="1"/>
  <c r="D9" i="9"/>
  <c r="G9" i="9" s="1"/>
  <c r="C8" i="9"/>
  <c r="C21" i="9" s="1"/>
  <c r="C5" i="10" s="1"/>
  <c r="B8" i="9"/>
  <c r="D7" i="9"/>
  <c r="G7" i="9" s="1"/>
  <c r="D6" i="9"/>
  <c r="G6" i="9" s="1"/>
  <c r="D5" i="9"/>
  <c r="G5" i="9" s="1"/>
  <c r="B4" i="9"/>
  <c r="C74" i="8"/>
  <c r="C64" i="8" s="1"/>
  <c r="B119" i="8"/>
  <c r="D119" i="8" s="1"/>
  <c r="G119" i="8" s="1"/>
  <c r="E118" i="8"/>
  <c r="D117" i="8"/>
  <c r="G117" i="8" s="1"/>
  <c r="D116" i="8"/>
  <c r="G116" i="8" s="1"/>
  <c r="D115" i="8"/>
  <c r="G115" i="8" s="1"/>
  <c r="D114" i="8"/>
  <c r="G114" i="8" s="1"/>
  <c r="D113" i="8"/>
  <c r="G113" i="8" s="1"/>
  <c r="D112" i="8"/>
  <c r="G112" i="8" s="1"/>
  <c r="D111" i="8"/>
  <c r="G111" i="8" s="1"/>
  <c r="D110" i="8"/>
  <c r="G110" i="8" s="1"/>
  <c r="D109" i="8"/>
  <c r="G109" i="8" s="1"/>
  <c r="G108" i="8"/>
  <c r="B107" i="8"/>
  <c r="D107" i="8" s="1"/>
  <c r="G107" i="8" s="1"/>
  <c r="D106" i="8"/>
  <c r="G106" i="8" s="1"/>
  <c r="D105" i="8"/>
  <c r="G105" i="8" s="1"/>
  <c r="D104" i="8"/>
  <c r="G104" i="8" s="1"/>
  <c r="D103" i="8"/>
  <c r="G103" i="8" s="1"/>
  <c r="G102" i="8"/>
  <c r="B101" i="8"/>
  <c r="D101" i="8" s="1"/>
  <c r="G101" i="8" s="1"/>
  <c r="D100" i="8"/>
  <c r="G100" i="8" s="1"/>
  <c r="D99" i="8"/>
  <c r="G99" i="8" s="1"/>
  <c r="D98" i="8"/>
  <c r="G98" i="8" s="1"/>
  <c r="D97" i="8"/>
  <c r="G97" i="8" s="1"/>
  <c r="D96" i="8"/>
  <c r="G96" i="8" s="1"/>
  <c r="D95" i="8"/>
  <c r="G95" i="8" s="1"/>
  <c r="D94" i="8"/>
  <c r="G94" i="8" s="1"/>
  <c r="D93" i="8"/>
  <c r="G93" i="8" s="1"/>
  <c r="D92" i="8"/>
  <c r="G92" i="8" s="1"/>
  <c r="D91" i="8"/>
  <c r="G91" i="8" s="1"/>
  <c r="D90" i="8"/>
  <c r="G90" i="8" s="1"/>
  <c r="D89" i="8"/>
  <c r="G89" i="8" s="1"/>
  <c r="D88" i="8"/>
  <c r="G88" i="8" s="1"/>
  <c r="D87" i="8"/>
  <c r="G87" i="8" s="1"/>
  <c r="B86" i="8"/>
  <c r="D86" i="8" s="1"/>
  <c r="G86" i="8" s="1"/>
  <c r="G85" i="8"/>
  <c r="D84" i="8"/>
  <c r="G84" i="8" s="1"/>
  <c r="G83" i="8"/>
  <c r="D82" i="8"/>
  <c r="G82" i="8" s="1"/>
  <c r="G81" i="8"/>
  <c r="G80" i="8"/>
  <c r="G79" i="8"/>
  <c r="G78" i="8"/>
  <c r="G77" i="8"/>
  <c r="G76" i="8"/>
  <c r="D75" i="8"/>
  <c r="G75" i="8" s="1"/>
  <c r="B74" i="8"/>
  <c r="D73" i="8"/>
  <c r="G73" i="8" s="1"/>
  <c r="D72" i="8"/>
  <c r="G72" i="8" s="1"/>
  <c r="D71" i="8"/>
  <c r="G71" i="8" s="1"/>
  <c r="D70" i="8"/>
  <c r="G70" i="8" s="1"/>
  <c r="G69" i="8"/>
  <c r="B68" i="8"/>
  <c r="D68" i="8" s="1"/>
  <c r="G68" i="8" s="1"/>
  <c r="G67" i="8"/>
  <c r="D66" i="8"/>
  <c r="G66" i="8" s="1"/>
  <c r="G65" i="8"/>
  <c r="F64" i="8"/>
  <c r="F118" i="8" s="1"/>
  <c r="G63" i="8"/>
  <c r="D59" i="8"/>
  <c r="G59" i="8" s="1"/>
  <c r="F58" i="8"/>
  <c r="E58" i="8"/>
  <c r="G57" i="8"/>
  <c r="D56" i="8"/>
  <c r="G56" i="8" s="1"/>
  <c r="D55" i="8"/>
  <c r="G55" i="8" s="1"/>
  <c r="C54" i="8"/>
  <c r="B54" i="8"/>
  <c r="D53" i="8"/>
  <c r="G53" i="8" s="1"/>
  <c r="D52" i="8"/>
  <c r="G52" i="8" s="1"/>
  <c r="D51" i="8"/>
  <c r="G51" i="8" s="1"/>
  <c r="B50" i="8"/>
  <c r="D50" i="8" s="1"/>
  <c r="G50" i="8" s="1"/>
  <c r="D49" i="8"/>
  <c r="G49" i="8" s="1"/>
  <c r="D48" i="8"/>
  <c r="G48" i="8" s="1"/>
  <c r="D47" i="8"/>
  <c r="G47" i="8" s="1"/>
  <c r="G46" i="8"/>
  <c r="B45" i="8"/>
  <c r="D45" i="8" s="1"/>
  <c r="G45" i="8" s="1"/>
  <c r="G44" i="8"/>
  <c r="G43" i="8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G32" i="8"/>
  <c r="B31" i="8"/>
  <c r="D31" i="8" s="1"/>
  <c r="G31" i="8" s="1"/>
  <c r="G30" i="8"/>
  <c r="D29" i="8"/>
  <c r="G29" i="8" s="1"/>
  <c r="G28" i="8"/>
  <c r="C27" i="8"/>
  <c r="G26" i="8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G15" i="8"/>
  <c r="B14" i="8"/>
  <c r="D14" i="8" s="1"/>
  <c r="G14" i="8" s="1"/>
  <c r="D13" i="8"/>
  <c r="G13" i="8" s="1"/>
  <c r="D12" i="8"/>
  <c r="G12" i="8" s="1"/>
  <c r="D11" i="8"/>
  <c r="G11" i="8" s="1"/>
  <c r="D10" i="8"/>
  <c r="G10" i="8" s="1"/>
  <c r="D9" i="8"/>
  <c r="G9" i="8" s="1"/>
  <c r="D8" i="8"/>
  <c r="G8" i="8" s="1"/>
  <c r="G7" i="8"/>
  <c r="B6" i="8"/>
  <c r="D6" i="8" s="1"/>
  <c r="G6" i="8" s="1"/>
  <c r="G5" i="8"/>
  <c r="C4" i="8"/>
  <c r="C118" i="8" l="1"/>
  <c r="C3" i="10"/>
  <c r="C7" i="10"/>
  <c r="D74" i="8"/>
  <c r="G74" i="8" s="1"/>
  <c r="D8" i="9"/>
  <c r="G8" i="9" s="1"/>
  <c r="D51" i="9"/>
  <c r="G51" i="9" s="1"/>
  <c r="B21" i="9"/>
  <c r="E52" i="9"/>
  <c r="D24" i="9"/>
  <c r="G24" i="9" s="1"/>
  <c r="D53" i="9"/>
  <c r="G53" i="9" s="1"/>
  <c r="D60" i="9"/>
  <c r="G60" i="9" s="1"/>
  <c r="C52" i="9"/>
  <c r="C63" i="9" s="1"/>
  <c r="C66" i="9" s="1"/>
  <c r="G31" i="9"/>
  <c r="D4" i="9"/>
  <c r="G4" i="9" s="1"/>
  <c r="D23" i="9"/>
  <c r="G23" i="9" s="1"/>
  <c r="C58" i="8"/>
  <c r="C2" i="10" s="1"/>
  <c r="C4" i="10" s="1"/>
  <c r="B27" i="8"/>
  <c r="D27" i="8" s="1"/>
  <c r="G4" i="8"/>
  <c r="B4" i="8"/>
  <c r="D4" i="8" s="1"/>
  <c r="G27" i="8"/>
  <c r="D54" i="8"/>
  <c r="G54" i="8" s="1"/>
  <c r="B64" i="8"/>
  <c r="G64" i="8"/>
  <c r="E66" i="2"/>
  <c r="F66" i="2"/>
  <c r="D20" i="2"/>
  <c r="G20" i="2" s="1"/>
  <c r="D18" i="2"/>
  <c r="D17" i="2"/>
  <c r="G17" i="2" s="1"/>
  <c r="J18" i="2"/>
  <c r="C2" i="5"/>
  <c r="C6" i="5" s="1"/>
  <c r="D6" i="5" s="1"/>
  <c r="D3" i="5"/>
  <c r="D4" i="5"/>
  <c r="D5" i="5"/>
  <c r="B6" i="5"/>
  <c r="B4" i="2"/>
  <c r="D5" i="2"/>
  <c r="G5" i="2" s="1"/>
  <c r="D6" i="2"/>
  <c r="G6" i="2" s="1"/>
  <c r="D7" i="2"/>
  <c r="G7" i="2" s="1"/>
  <c r="B8" i="2"/>
  <c r="C8" i="2"/>
  <c r="C21" i="2" s="1"/>
  <c r="C5" i="3" s="1"/>
  <c r="D9" i="2"/>
  <c r="G9" i="2" s="1"/>
  <c r="D10" i="2"/>
  <c r="G10" i="2" s="1"/>
  <c r="D11" i="2"/>
  <c r="G11" i="2" s="1"/>
  <c r="D12" i="2"/>
  <c r="G12" i="2" s="1"/>
  <c r="D13" i="2"/>
  <c r="G13" i="2" s="1"/>
  <c r="D14" i="2"/>
  <c r="G14" i="2" s="1"/>
  <c r="D15" i="2"/>
  <c r="G15" i="2" s="1"/>
  <c r="D16" i="2"/>
  <c r="G16" i="2" s="1"/>
  <c r="G18" i="2"/>
  <c r="I18" i="2"/>
  <c r="D19" i="2"/>
  <c r="G19" i="2" s="1"/>
  <c r="E21" i="2"/>
  <c r="F21" i="2"/>
  <c r="D22" i="2"/>
  <c r="G22" i="2" s="1"/>
  <c r="B24" i="2"/>
  <c r="B23" i="2" s="1"/>
  <c r="D23" i="2" s="1"/>
  <c r="G23" i="2" s="1"/>
  <c r="C24" i="2"/>
  <c r="D25" i="2"/>
  <c r="G25" i="2" s="1"/>
  <c r="D26" i="2"/>
  <c r="G26" i="2" s="1"/>
  <c r="D27" i="2"/>
  <c r="G27" i="2" s="1"/>
  <c r="D28" i="2"/>
  <c r="G28" i="2" s="1"/>
  <c r="D29" i="2"/>
  <c r="G29" i="2" s="1"/>
  <c r="D30" i="2"/>
  <c r="G30" i="2" s="1"/>
  <c r="B31" i="2"/>
  <c r="C31" i="2"/>
  <c r="C51" i="2" s="1"/>
  <c r="C6" i="3" s="1"/>
  <c r="D32" i="2"/>
  <c r="G32" i="2" s="1"/>
  <c r="D33" i="2"/>
  <c r="G33" i="2" s="1"/>
  <c r="D34" i="2"/>
  <c r="G34" i="2" s="1"/>
  <c r="D35" i="2"/>
  <c r="G35" i="2" s="1"/>
  <c r="D36" i="2"/>
  <c r="G36" i="2" s="1"/>
  <c r="D37" i="2"/>
  <c r="G37" i="2" s="1"/>
  <c r="D38" i="2"/>
  <c r="G38" i="2" s="1"/>
  <c r="D39" i="2"/>
  <c r="G39" i="2" s="1"/>
  <c r="D40" i="2"/>
  <c r="G40" i="2" s="1"/>
  <c r="D41" i="2"/>
  <c r="G41" i="2" s="1"/>
  <c r="D42" i="2"/>
  <c r="G42" i="2"/>
  <c r="D43" i="2"/>
  <c r="G43" i="2" s="1"/>
  <c r="B44" i="2"/>
  <c r="D44" i="2" s="1"/>
  <c r="G44" i="2" s="1"/>
  <c r="D45" i="2"/>
  <c r="G45" i="2" s="1"/>
  <c r="D46" i="2"/>
  <c r="G46" i="2" s="1"/>
  <c r="D47" i="2"/>
  <c r="G47" i="2" s="1"/>
  <c r="D48" i="2"/>
  <c r="G48" i="2" s="1"/>
  <c r="D49" i="2"/>
  <c r="G49" i="2" s="1"/>
  <c r="D50" i="2"/>
  <c r="G50" i="2" s="1"/>
  <c r="E51" i="2"/>
  <c r="F51" i="2"/>
  <c r="B53" i="2"/>
  <c r="C53" i="2"/>
  <c r="D54" i="2"/>
  <c r="G54" i="2" s="1"/>
  <c r="D55" i="2"/>
  <c r="G55" i="2" s="1"/>
  <c r="D56" i="2"/>
  <c r="G56" i="2" s="1"/>
  <c r="B57" i="2"/>
  <c r="D57" i="2" s="1"/>
  <c r="G57" i="2" s="1"/>
  <c r="D58" i="2"/>
  <c r="G58" i="2" s="1"/>
  <c r="D59" i="2"/>
  <c r="G59" i="2" s="1"/>
  <c r="B60" i="2"/>
  <c r="C60" i="2"/>
  <c r="D61" i="2"/>
  <c r="G61" i="2" s="1"/>
  <c r="D62" i="2"/>
  <c r="G62" i="2" s="1"/>
  <c r="D64" i="2"/>
  <c r="G64" i="2"/>
  <c r="E68" i="2"/>
  <c r="F68" i="2"/>
  <c r="C4" i="7"/>
  <c r="G5" i="7"/>
  <c r="B6" i="7"/>
  <c r="D6" i="7" s="1"/>
  <c r="G6" i="7" s="1"/>
  <c r="G7" i="7"/>
  <c r="D8" i="7"/>
  <c r="G8" i="7"/>
  <c r="D9" i="7"/>
  <c r="G9" i="7" s="1"/>
  <c r="D10" i="7"/>
  <c r="G10" i="7" s="1"/>
  <c r="D11" i="7"/>
  <c r="G11" i="7" s="1"/>
  <c r="D12" i="7"/>
  <c r="G12" i="7" s="1"/>
  <c r="D13" i="7"/>
  <c r="G13" i="7" s="1"/>
  <c r="B14" i="7"/>
  <c r="B4" i="7" s="1"/>
  <c r="G15" i="7"/>
  <c r="D16" i="7"/>
  <c r="G16" i="7" s="1"/>
  <c r="D17" i="7"/>
  <c r="G17" i="7" s="1"/>
  <c r="D18" i="7"/>
  <c r="G18" i="7" s="1"/>
  <c r="D19" i="7"/>
  <c r="G19" i="7"/>
  <c r="D20" i="7"/>
  <c r="G20" i="7" s="1"/>
  <c r="D21" i="7"/>
  <c r="G21" i="7" s="1"/>
  <c r="D22" i="7"/>
  <c r="G22" i="7"/>
  <c r="D23" i="7"/>
  <c r="G23" i="7" s="1"/>
  <c r="D24" i="7"/>
  <c r="G24" i="7" s="1"/>
  <c r="D25" i="7"/>
  <c r="G25" i="7" s="1"/>
  <c r="G26" i="7"/>
  <c r="C27" i="7"/>
  <c r="G28" i="7"/>
  <c r="D29" i="7"/>
  <c r="G29" i="7" s="1"/>
  <c r="G30" i="7"/>
  <c r="B31" i="7"/>
  <c r="D31" i="7" s="1"/>
  <c r="G31" i="7" s="1"/>
  <c r="G32" i="7"/>
  <c r="D33" i="7"/>
  <c r="G33" i="7"/>
  <c r="D34" i="7"/>
  <c r="G34" i="7" s="1"/>
  <c r="D35" i="7"/>
  <c r="G35" i="7" s="1"/>
  <c r="D36" i="7"/>
  <c r="G36" i="7" s="1"/>
  <c r="D37" i="7"/>
  <c r="G37" i="7" s="1"/>
  <c r="D38" i="7"/>
  <c r="G38" i="7" s="1"/>
  <c r="D39" i="7"/>
  <c r="G39" i="7" s="1"/>
  <c r="D40" i="7"/>
  <c r="G40" i="7" s="1"/>
  <c r="D41" i="7"/>
  <c r="G41" i="7" s="1"/>
  <c r="D42" i="7"/>
  <c r="G42" i="7" s="1"/>
  <c r="G43" i="7"/>
  <c r="G44" i="7"/>
  <c r="B45" i="7"/>
  <c r="D45" i="7" s="1"/>
  <c r="G45" i="7" s="1"/>
  <c r="G46" i="7"/>
  <c r="D47" i="7"/>
  <c r="G47" i="7" s="1"/>
  <c r="D48" i="7"/>
  <c r="G48" i="7"/>
  <c r="D49" i="7"/>
  <c r="G49" i="7" s="1"/>
  <c r="B50" i="7"/>
  <c r="D50" i="7" s="1"/>
  <c r="G50" i="7" s="1"/>
  <c r="D51" i="7"/>
  <c r="G51" i="7" s="1"/>
  <c r="D52" i="7"/>
  <c r="G52" i="7" s="1"/>
  <c r="D53" i="7"/>
  <c r="G53" i="7" s="1"/>
  <c r="B54" i="7"/>
  <c r="D54" i="7" s="1"/>
  <c r="G54" i="7" s="1"/>
  <c r="C54" i="7"/>
  <c r="D55" i="7"/>
  <c r="G55" i="7" s="1"/>
  <c r="D56" i="7"/>
  <c r="G56" i="7" s="1"/>
  <c r="G57" i="7"/>
  <c r="E58" i="7"/>
  <c r="F58" i="7"/>
  <c r="D59" i="7"/>
  <c r="G59" i="7" s="1"/>
  <c r="G63" i="7"/>
  <c r="F64" i="7"/>
  <c r="F118" i="7" s="1"/>
  <c r="G65" i="7"/>
  <c r="D66" i="7"/>
  <c r="G66" i="7" s="1"/>
  <c r="G67" i="7"/>
  <c r="B68" i="7"/>
  <c r="D68" i="7" s="1"/>
  <c r="G68" i="7" s="1"/>
  <c r="G69" i="7"/>
  <c r="D70" i="7"/>
  <c r="G70" i="7" s="1"/>
  <c r="D71" i="7"/>
  <c r="G71" i="7" s="1"/>
  <c r="D72" i="7"/>
  <c r="G72" i="7" s="1"/>
  <c r="D73" i="7"/>
  <c r="G73" i="7" s="1"/>
  <c r="B74" i="7"/>
  <c r="C74" i="7"/>
  <c r="D75" i="7"/>
  <c r="G75" i="7" s="1"/>
  <c r="G76" i="7"/>
  <c r="G77" i="7"/>
  <c r="G78" i="7"/>
  <c r="G79" i="7"/>
  <c r="G80" i="7"/>
  <c r="G81" i="7"/>
  <c r="D82" i="7"/>
  <c r="G82" i="7" s="1"/>
  <c r="G83" i="7"/>
  <c r="D84" i="7"/>
  <c r="G84" i="7" s="1"/>
  <c r="G85" i="7"/>
  <c r="B86" i="7"/>
  <c r="D86" i="7" s="1"/>
  <c r="G86" i="7" s="1"/>
  <c r="D87" i="7"/>
  <c r="G87" i="7" s="1"/>
  <c r="D88" i="7"/>
  <c r="G88" i="7" s="1"/>
  <c r="D89" i="7"/>
  <c r="G89" i="7" s="1"/>
  <c r="D90" i="7"/>
  <c r="G90" i="7" s="1"/>
  <c r="D91" i="7"/>
  <c r="G91" i="7" s="1"/>
  <c r="D92" i="7"/>
  <c r="G92" i="7" s="1"/>
  <c r="D93" i="7"/>
  <c r="G93" i="7"/>
  <c r="D94" i="7"/>
  <c r="G94" i="7" s="1"/>
  <c r="D95" i="7"/>
  <c r="G95" i="7" s="1"/>
  <c r="D96" i="7"/>
  <c r="G96" i="7" s="1"/>
  <c r="D97" i="7"/>
  <c r="G97" i="7" s="1"/>
  <c r="D98" i="7"/>
  <c r="G98" i="7" s="1"/>
  <c r="D99" i="7"/>
  <c r="G99" i="7" s="1"/>
  <c r="D100" i="7"/>
  <c r="G100" i="7" s="1"/>
  <c r="B101" i="7"/>
  <c r="D101" i="7" s="1"/>
  <c r="G101" i="7" s="1"/>
  <c r="G102" i="7"/>
  <c r="D103" i="7"/>
  <c r="G103" i="7"/>
  <c r="D104" i="7"/>
  <c r="G104" i="7"/>
  <c r="D105" i="7"/>
  <c r="G105" i="7" s="1"/>
  <c r="D106" i="7"/>
  <c r="G106" i="7" s="1"/>
  <c r="B107" i="7"/>
  <c r="D107" i="7" s="1"/>
  <c r="G107" i="7" s="1"/>
  <c r="G108" i="7"/>
  <c r="D109" i="7"/>
  <c r="G109" i="7" s="1"/>
  <c r="D110" i="7"/>
  <c r="G110" i="7" s="1"/>
  <c r="D111" i="7"/>
  <c r="G111" i="7" s="1"/>
  <c r="D112" i="7"/>
  <c r="G112" i="7" s="1"/>
  <c r="D113" i="7"/>
  <c r="G113" i="7" s="1"/>
  <c r="D114" i="7"/>
  <c r="G114" i="7" s="1"/>
  <c r="D115" i="7"/>
  <c r="G115" i="7" s="1"/>
  <c r="D116" i="7"/>
  <c r="G116" i="7" s="1"/>
  <c r="D117" i="7"/>
  <c r="G117" i="7" s="1"/>
  <c r="E118" i="7"/>
  <c r="B119" i="7"/>
  <c r="D119" i="7" s="1"/>
  <c r="G119" i="7" s="1"/>
  <c r="C4" i="1"/>
  <c r="G5" i="1"/>
  <c r="B6" i="1"/>
  <c r="G7" i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B14" i="1"/>
  <c r="D14" i="1" s="1"/>
  <c r="G14" i="1" s="1"/>
  <c r="G15" i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G26" i="1"/>
  <c r="C27" i="1"/>
  <c r="G28" i="1"/>
  <c r="D29" i="1"/>
  <c r="G29" i="1" s="1"/>
  <c r="G30" i="1"/>
  <c r="B31" i="1"/>
  <c r="D31" i="1" s="1"/>
  <c r="G31" i="1" s="1"/>
  <c r="G32" i="1"/>
  <c r="D33" i="1"/>
  <c r="G33" i="1" s="1"/>
  <c r="D34" i="1"/>
  <c r="G34" i="1" s="1"/>
  <c r="D35" i="1"/>
  <c r="G35" i="1" s="1"/>
  <c r="D36" i="1"/>
  <c r="G36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G42" i="1" s="1"/>
  <c r="G43" i="1"/>
  <c r="G44" i="1"/>
  <c r="B45" i="1"/>
  <c r="D45" i="1" s="1"/>
  <c r="G45" i="1" s="1"/>
  <c r="G46" i="1"/>
  <c r="D47" i="1"/>
  <c r="G47" i="1" s="1"/>
  <c r="D48" i="1"/>
  <c r="G48" i="1" s="1"/>
  <c r="D49" i="1"/>
  <c r="G49" i="1" s="1"/>
  <c r="B50" i="1"/>
  <c r="D50" i="1" s="1"/>
  <c r="G50" i="1" s="1"/>
  <c r="D51" i="1"/>
  <c r="G51" i="1" s="1"/>
  <c r="D52" i="1"/>
  <c r="G52" i="1" s="1"/>
  <c r="D53" i="1"/>
  <c r="G53" i="1" s="1"/>
  <c r="B54" i="1"/>
  <c r="D54" i="1" s="1"/>
  <c r="G54" i="1" s="1"/>
  <c r="C54" i="1"/>
  <c r="D55" i="1"/>
  <c r="G55" i="1" s="1"/>
  <c r="D56" i="1"/>
  <c r="G56" i="1" s="1"/>
  <c r="G57" i="1"/>
  <c r="C58" i="1"/>
  <c r="E58" i="1"/>
  <c r="F58" i="1"/>
  <c r="D59" i="1"/>
  <c r="G59" i="1" s="1"/>
  <c r="G63" i="1"/>
  <c r="F64" i="1"/>
  <c r="F118" i="1" s="1"/>
  <c r="G65" i="1"/>
  <c r="D66" i="1"/>
  <c r="G66" i="1" s="1"/>
  <c r="G67" i="1"/>
  <c r="D68" i="1"/>
  <c r="G68" i="1" s="1"/>
  <c r="G69" i="1"/>
  <c r="D70" i="1"/>
  <c r="G70" i="1" s="1"/>
  <c r="D71" i="1"/>
  <c r="G71" i="1" s="1"/>
  <c r="D72" i="1"/>
  <c r="G72" i="1" s="1"/>
  <c r="D73" i="1"/>
  <c r="G73" i="1" s="1"/>
  <c r="B74" i="1"/>
  <c r="B64" i="1" s="1"/>
  <c r="C74" i="1"/>
  <c r="D74" i="1" s="1"/>
  <c r="G74" i="1" s="1"/>
  <c r="D75" i="1"/>
  <c r="G75" i="1" s="1"/>
  <c r="G76" i="1"/>
  <c r="G77" i="1"/>
  <c r="G78" i="1"/>
  <c r="G79" i="1"/>
  <c r="G80" i="1"/>
  <c r="G81" i="1"/>
  <c r="D82" i="1"/>
  <c r="G82" i="1" s="1"/>
  <c r="G83" i="1"/>
  <c r="D84" i="1"/>
  <c r="G84" i="1"/>
  <c r="G85" i="1"/>
  <c r="B86" i="1"/>
  <c r="D86" i="1" s="1"/>
  <c r="G86" i="1" s="1"/>
  <c r="D87" i="1"/>
  <c r="G87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/>
  <c r="D95" i="1"/>
  <c r="G95" i="1" s="1"/>
  <c r="D96" i="1"/>
  <c r="G96" i="1"/>
  <c r="D97" i="1"/>
  <c r="G97" i="1" s="1"/>
  <c r="D98" i="1"/>
  <c r="G98" i="1" s="1"/>
  <c r="D99" i="1"/>
  <c r="G99" i="1" s="1"/>
  <c r="D100" i="1"/>
  <c r="G100" i="1" s="1"/>
  <c r="B101" i="1"/>
  <c r="D101" i="1" s="1"/>
  <c r="G101" i="1" s="1"/>
  <c r="G102" i="1"/>
  <c r="D103" i="1"/>
  <c r="G103" i="1" s="1"/>
  <c r="D104" i="1"/>
  <c r="G104" i="1" s="1"/>
  <c r="D105" i="1"/>
  <c r="G105" i="1" s="1"/>
  <c r="D106" i="1"/>
  <c r="G106" i="1" s="1"/>
  <c r="B107" i="1"/>
  <c r="D107" i="1" s="1"/>
  <c r="G107" i="1" s="1"/>
  <c r="G108" i="1"/>
  <c r="D109" i="1"/>
  <c r="G109" i="1" s="1"/>
  <c r="D110" i="1"/>
  <c r="G110" i="1" s="1"/>
  <c r="D111" i="1"/>
  <c r="G111" i="1" s="1"/>
  <c r="D112" i="1"/>
  <c r="G112" i="1" s="1"/>
  <c r="D113" i="1"/>
  <c r="G113" i="1" s="1"/>
  <c r="D114" i="1"/>
  <c r="G114" i="1" s="1"/>
  <c r="D115" i="1"/>
  <c r="G115" i="1"/>
  <c r="D116" i="1"/>
  <c r="G116" i="1" s="1"/>
  <c r="D117" i="1"/>
  <c r="G117" i="1" s="1"/>
  <c r="E118" i="1"/>
  <c r="B119" i="1"/>
  <c r="D119" i="1" s="1"/>
  <c r="G119" i="1" s="1"/>
  <c r="D31" i="2" l="1"/>
  <c r="B4" i="1"/>
  <c r="D4" i="1" s="1"/>
  <c r="D2" i="5"/>
  <c r="D6" i="1"/>
  <c r="G6" i="1" s="1"/>
  <c r="E52" i="2"/>
  <c r="C58" i="7"/>
  <c r="C2" i="3" s="1"/>
  <c r="D24" i="2"/>
  <c r="G24" i="2" s="1"/>
  <c r="G27" i="7"/>
  <c r="D60" i="2"/>
  <c r="G60" i="2" s="1"/>
  <c r="D4" i="7"/>
  <c r="G31" i="2"/>
  <c r="I31" i="2"/>
  <c r="C7" i="3"/>
  <c r="B64" i="7"/>
  <c r="B118" i="7" s="1"/>
  <c r="D14" i="7"/>
  <c r="G14" i="7" s="1"/>
  <c r="D53" i="2"/>
  <c r="G53" i="2" s="1"/>
  <c r="B27" i="7"/>
  <c r="D27" i="7" s="1"/>
  <c r="D8" i="2"/>
  <c r="G8" i="2" s="1"/>
  <c r="B27" i="1"/>
  <c r="F52" i="2"/>
  <c r="D21" i="9"/>
  <c r="G21" i="9" s="1"/>
  <c r="G52" i="9" s="1"/>
  <c r="G63" i="9" s="1"/>
  <c r="G66" i="9" s="1"/>
  <c r="B5" i="10"/>
  <c r="B7" i="10" s="1"/>
  <c r="D7" i="10" s="1"/>
  <c r="B118" i="8"/>
  <c r="D118" i="8" s="1"/>
  <c r="G118" i="8" s="1"/>
  <c r="B3" i="10"/>
  <c r="B52" i="9"/>
  <c r="B63" i="9" s="1"/>
  <c r="B58" i="8"/>
  <c r="B2" i="10" s="1"/>
  <c r="D64" i="8"/>
  <c r="B118" i="1"/>
  <c r="G64" i="1"/>
  <c r="H82" i="1" s="1"/>
  <c r="I51" i="2"/>
  <c r="I52" i="2"/>
  <c r="C64" i="1"/>
  <c r="C118" i="1" s="1"/>
  <c r="G4" i="1"/>
  <c r="G27" i="1"/>
  <c r="C64" i="7"/>
  <c r="D74" i="7"/>
  <c r="G74" i="7" s="1"/>
  <c r="G64" i="7" s="1"/>
  <c r="I82" i="7" s="1"/>
  <c r="D64" i="7"/>
  <c r="G4" i="7"/>
  <c r="C52" i="2"/>
  <c r="C63" i="2" s="1"/>
  <c r="C66" i="2" s="1"/>
  <c r="B51" i="2"/>
  <c r="D4" i="2"/>
  <c r="G4" i="2" s="1"/>
  <c r="I21" i="2" s="1"/>
  <c r="B21" i="2"/>
  <c r="I58" i="7" l="1"/>
  <c r="D118" i="1"/>
  <c r="G118" i="1" s="1"/>
  <c r="B3" i="3"/>
  <c r="H58" i="1"/>
  <c r="B4" i="10"/>
  <c r="B58" i="1"/>
  <c r="D58" i="1" s="1"/>
  <c r="G58" i="1" s="1"/>
  <c r="D27" i="1"/>
  <c r="B58" i="7"/>
  <c r="D58" i="8"/>
  <c r="G58" i="8" s="1"/>
  <c r="D52" i="9"/>
  <c r="B66" i="9"/>
  <c r="D63" i="9"/>
  <c r="D66" i="9" s="1"/>
  <c r="D21" i="2"/>
  <c r="G21" i="2" s="1"/>
  <c r="B52" i="2"/>
  <c r="B5" i="3"/>
  <c r="B6" i="3"/>
  <c r="D51" i="2"/>
  <c r="G51" i="2" s="1"/>
  <c r="C3" i="3"/>
  <c r="C4" i="3" s="1"/>
  <c r="C118" i="7"/>
  <c r="D118" i="7" s="1"/>
  <c r="G118" i="7" s="1"/>
  <c r="D64" i="1"/>
  <c r="D58" i="7" l="1"/>
  <c r="G58" i="7" s="1"/>
  <c r="B2" i="3"/>
  <c r="B4" i="3" s="1"/>
  <c r="D52" i="2"/>
  <c r="B63" i="2"/>
  <c r="B7" i="3"/>
  <c r="D7" i="3" s="1"/>
  <c r="G52" i="2"/>
  <c r="G63" i="2" s="1"/>
  <c r="G66" i="2" s="1"/>
  <c r="B66" i="2" l="1"/>
  <c r="D63" i="2"/>
  <c r="D66" i="2" s="1"/>
</calcChain>
</file>

<file path=xl/sharedStrings.xml><?xml version="1.0" encoding="utf-8"?>
<sst xmlns="http://schemas.openxmlformats.org/spreadsheetml/2006/main" count="780" uniqueCount="217">
  <si>
    <t xml:space="preserve">	 A) IMMOBILIZZAZIONI</t>
  </si>
  <si>
    <t xml:space="preserve">		 I - IMMATERIALI:</t>
  </si>
  <si>
    <t xml:space="preserve">			 1) Costi di impianto, di ampliamento e di sviluppo</t>
  </si>
  <si>
    <t xml:space="preserve">			 2) Diritti di brevetto e diritti di utilizzazione delle opere di ingegno</t>
  </si>
  <si>
    <t xml:space="preserve">			 3) Concessioni, licenze, marchi e diritti simili</t>
  </si>
  <si>
    <t xml:space="preserve">			 4)  Immobilizzazioni in corso e acconti</t>
  </si>
  <si>
    <t xml:space="preserve">			 5) Altre immobilizzazioni immateriali</t>
  </si>
  <si>
    <t xml:space="preserve">		 II - MATERIALI:</t>
  </si>
  <si>
    <t xml:space="preserve">			 1) Terreni e fabbricati</t>
  </si>
  <si>
    <t xml:space="preserve">			 2) Impianti e attrezzature</t>
  </si>
  <si>
    <t xml:space="preserve">			 3) Attrezzature scientifiche</t>
  </si>
  <si>
    <t xml:space="preserve">			 4) Patrimonio librario, opere d'arte, d'antiquariato e museali</t>
  </si>
  <si>
    <t xml:space="preserve">			 5) Mobili e arredi</t>
  </si>
  <si>
    <t xml:space="preserve">			 6) Immobilizzazioni in corso e acconti</t>
  </si>
  <si>
    <t xml:space="preserve">			 7) Altre immobilizzazioni materiali</t>
  </si>
  <si>
    <t xml:space="preserve">		 III - FINANZIARIE:</t>
  </si>
  <si>
    <t xml:space="preserve">			 1) Crediti verso MIUR e altre Amministrazioni centrali</t>
  </si>
  <si>
    <t xml:space="preserve">			 2) Crediti verso Regioni e Province Autonome</t>
  </si>
  <si>
    <t xml:space="preserve">			 3) Crediti verso altre Amministrazioni locali</t>
  </si>
  <si>
    <t xml:space="preserve">			 5) Crediti verso Università</t>
  </si>
  <si>
    <t xml:space="preserve">			 6) Crediti verso studenti per tasse e contributi</t>
  </si>
  <si>
    <t xml:space="preserve">			 7) Crediti verso società ed enti controllati</t>
  </si>
  <si>
    <t xml:space="preserve">			 8) Crediti verso altri (pubblici)</t>
  </si>
  <si>
    <t xml:space="preserve">			 9) Crediti verso altri (privati)</t>
  </si>
  <si>
    <t xml:space="preserve">		 III - ATTIVITA' FINANZIARIE</t>
  </si>
  <si>
    <t xml:space="preserve">		 IV - DISPONIBILITA' LIQUIDE:</t>
  </si>
  <si>
    <t xml:space="preserve">			 1) Depositi bancari e postali</t>
  </si>
  <si>
    <t xml:space="preserve">			 2) Danaro e valori in cassa</t>
  </si>
  <si>
    <t xml:space="preserve">	 C) RATEI E RISCONTI ATTIVI</t>
  </si>
  <si>
    <t xml:space="preserve">	 A) PATRIMONIO NETTO:</t>
  </si>
  <si>
    <t xml:space="preserve">		 I - FONDO DI DOTAZIONE DELL'ATENEO</t>
  </si>
  <si>
    <t xml:space="preserve">		 II - PATRIMONIO VINCOLATO</t>
  </si>
  <si>
    <t xml:space="preserve">			 1) Fondi vincolati destinati da terzi</t>
  </si>
  <si>
    <t xml:space="preserve">			 2) Fondi vincolati per decisione degli organi istituzionali</t>
  </si>
  <si>
    <t xml:space="preserve">		 III - PATRIMONIO NON VINCOLATO</t>
  </si>
  <si>
    <t xml:space="preserve">			 1) Risultato gestionale esercizio</t>
  </si>
  <si>
    <t xml:space="preserve">			 2) Risultati gestionali relativi ad esercizi precedenti</t>
  </si>
  <si>
    <t xml:space="preserve">			 3) Riserve statutarie</t>
  </si>
  <si>
    <t xml:space="preserve">	 B) FONDI PER RISCHI E ONERI</t>
  </si>
  <si>
    <t xml:space="preserve">	 C) TRATTAMENTO DI FINE RAPPORTO DI LAVORO SUBORDINATO</t>
  </si>
  <si>
    <t xml:space="preserve">		 1) Mutui e Debiti verso banche</t>
  </si>
  <si>
    <t xml:space="preserve">		 2) Debiti: verso MIUR e altre Amministrazioni centrali</t>
  </si>
  <si>
    <t xml:space="preserve">		 3) Debiti: verso Regione e Province Autonome</t>
  </si>
  <si>
    <t xml:space="preserve">		 4) Debiti: verso altre Amministrazioni locali</t>
  </si>
  <si>
    <t xml:space="preserve">		 6) Debiti: verso Università</t>
  </si>
  <si>
    <t xml:space="preserve">		 7) Debiti: verso studenti</t>
  </si>
  <si>
    <t xml:space="preserve">		 8) Acconti</t>
  </si>
  <si>
    <t xml:space="preserve">		 9) Debiti: verso fornitori</t>
  </si>
  <si>
    <t xml:space="preserve">		 10) Debiti: verso dipendenti</t>
  </si>
  <si>
    <t xml:space="preserve">		 11) Debiti: verso società o enti controllati</t>
  </si>
  <si>
    <t xml:space="preserve">		 12) Debiti: altri debiti</t>
  </si>
  <si>
    <t xml:space="preserve">	 E) RATEI E RISCONTI PASSIVI E CONTRIBUTI AGLI INVESTIMENTI</t>
  </si>
  <si>
    <t>B) ATTIVO CIRCOLANTE</t>
  </si>
  <si>
    <t>I - RIMANENZE</t>
  </si>
  <si>
    <t>TOTALE ATTIVO</t>
  </si>
  <si>
    <t>CONTI D'ORDINE DELL'ATTIVO</t>
  </si>
  <si>
    <t>TOTALE PASSIVO</t>
  </si>
  <si>
    <t>CONTI D'ORDINE DEL PASSIVO</t>
  </si>
  <si>
    <t xml:space="preserve"> ATTIVO</t>
  </si>
  <si>
    <t xml:space="preserve"> PASSIVO</t>
  </si>
  <si>
    <t>II - CREDITI</t>
  </si>
  <si>
    <t xml:space="preserve">	 D) DEBITI</t>
  </si>
  <si>
    <t>4) Crediti verso l'Unione Europea e altri Organismi internazionali</t>
  </si>
  <si>
    <t>3) Riserve vincolate (progetti specifici, obblighi di legge o altro)</t>
  </si>
  <si>
    <t>5) Debiti verso l'Unione Europea ed altri Organismi internazionali</t>
  </si>
  <si>
    <t xml:space="preserve">		 c1) Rate risconti attivi</t>
  </si>
  <si>
    <t>d1) Ratei attivi per progetti e ricerche in corso</t>
  </si>
  <si>
    <t>F) RISCONTI PASSIVI PER PROGETTI E RICERCHE IN CORSO</t>
  </si>
  <si>
    <t>f) Risconti passivi per progetti e ricerche finanziate o cofinaziate in corso</t>
  </si>
  <si>
    <t>e1) Contributi agli investimenti</t>
  </si>
  <si>
    <t>e2) Ratei e risconti passivi</t>
  </si>
  <si>
    <t>UNIMI</t>
  </si>
  <si>
    <t>Fondazione UNIMI</t>
  </si>
  <si>
    <t>Aggregato</t>
  </si>
  <si>
    <t>Rettifiche di consolidamento</t>
  </si>
  <si>
    <t>Consolidato</t>
  </si>
  <si>
    <t>CONTO ECONOMICO</t>
  </si>
  <si>
    <t xml:space="preserve"> A) PROVENTI OPERATIVI</t>
  </si>
  <si>
    <t xml:space="preserve">	 I. PROVENTI PROPRI</t>
  </si>
  <si>
    <t xml:space="preserve">		 1) Proventi per la didattica</t>
  </si>
  <si>
    <t xml:space="preserve">		 2) Proventi da Ricerche commissionate e trasferimento tecnologico</t>
  </si>
  <si>
    <t xml:space="preserve">		 3) Proventi da Ricerche con finanziamenti competitivi</t>
  </si>
  <si>
    <t xml:space="preserve">	 II. CONTRIBUTI</t>
  </si>
  <si>
    <t xml:space="preserve">		 1) Contributi Miur e altre Amministrazioni centrali</t>
  </si>
  <si>
    <t xml:space="preserve">		 2) Contributi Regioni e Province autonome</t>
  </si>
  <si>
    <t xml:space="preserve">		 3) Contributi altre Amministrazioni locali</t>
  </si>
  <si>
    <t xml:space="preserve"> 4) Contributi da Unione Europea e da Resto del Mondo</t>
  </si>
  <si>
    <t xml:space="preserve">		 5) Contributi da Università</t>
  </si>
  <si>
    <t xml:space="preserve">		 6) Contributi da altri (pubblici)</t>
  </si>
  <si>
    <t xml:space="preserve">		 7) Contributi da altri (privati)</t>
  </si>
  <si>
    <t xml:space="preserve">	 III. PROVENTI PER ATTIVITA' ASSISTENZIALE</t>
  </si>
  <si>
    <t xml:space="preserve">	 IV. PROVENTI PER GESTIONE DIRETTA INTERVENTI PER IL DIRITTO ALLO STUDIO</t>
  </si>
  <si>
    <t xml:space="preserve">	 V. ALTRI PROVENTI E RICAVI DIVERSI</t>
  </si>
  <si>
    <t xml:space="preserve">	 VI. VARIAZIONE RIMANENZE</t>
  </si>
  <si>
    <t xml:space="preserve">	 VII. INCREMENTO DELLE IMMOBILIZZAZIONI PER LAVORI INTERNI</t>
  </si>
  <si>
    <t xml:space="preserve"> TOTALE PROVENTI (A)</t>
  </si>
  <si>
    <t xml:space="preserve"> B) COSTI OPERATIVI</t>
  </si>
  <si>
    <t xml:space="preserve">	 VIII. COSTI DEL PERSONALE</t>
  </si>
  <si>
    <t xml:space="preserve">		 1) Costi del personale dedicato alla ricerca e alla didattica:</t>
  </si>
  <si>
    <t xml:space="preserve">			 a) docenti / ricercatori</t>
  </si>
  <si>
    <t xml:space="preserve">			 b) collaborazioni scientifiche (collaboratori, assegnisti, ecc)</t>
  </si>
  <si>
    <t xml:space="preserve">			 c) docenti a contratto</t>
  </si>
  <si>
    <t xml:space="preserve">			 d) esperti linguistici</t>
  </si>
  <si>
    <t xml:space="preserve">			 e) altro personale dedicato alla didattica e alla ricerca</t>
  </si>
  <si>
    <t xml:space="preserve">		 2) Costi del personale dirigente e tecnico amministrativo</t>
  </si>
  <si>
    <t xml:space="preserve">	 IX. COSTI DELLA GESTIONE CORRENTE</t>
  </si>
  <si>
    <t xml:space="preserve">		 1) Costi per sostegno agli studenti</t>
  </si>
  <si>
    <t xml:space="preserve">		 2) Costi per il diritto allo studio</t>
  </si>
  <si>
    <t xml:space="preserve"> 3)		 Costi per l'attività editoriale</t>
  </si>
  <si>
    <t xml:space="preserve">		 4) Trasferimenti a partner di progetti coordinati</t>
  </si>
  <si>
    <t xml:space="preserve">		 5) Acquisto materiale consumo per laboratori</t>
  </si>
  <si>
    <t xml:space="preserve">		 6) Variazione rimanenze di materiale di consumo per laboratori</t>
  </si>
  <si>
    <t xml:space="preserve">		 7) Acquisto di libri, periodici e materiale bibliografico</t>
  </si>
  <si>
    <t xml:space="preserve">		 8) Acquisto di servizi e collaborazioni tecnico gestionali</t>
  </si>
  <si>
    <t xml:space="preserve">		 9) Acquisto altri materiali</t>
  </si>
  <si>
    <t xml:space="preserve">		 10) Variazione delle rimanenze di materiali</t>
  </si>
  <si>
    <t xml:space="preserve">		 11) Costi per godimento beni di terzi</t>
  </si>
  <si>
    <t xml:space="preserve">		 12) Altri costi</t>
  </si>
  <si>
    <t xml:space="preserve">	 X. AMMORTAMENTI E SVALUTAZIONI</t>
  </si>
  <si>
    <t xml:space="preserve">		 1) Ammortamenti immobilizzazioni immateriali</t>
  </si>
  <si>
    <t xml:space="preserve">		 2) Ammortamenti immobilizzazioni materiali</t>
  </si>
  <si>
    <t xml:space="preserve">		 3) Svalutazione immobilizzazioni</t>
  </si>
  <si>
    <t xml:space="preserve">		 4) Svalutazioni dei crediti compresi nell'attivo circolante e nelle disponibilità liquide</t>
  </si>
  <si>
    <t xml:space="preserve">	 XI. ACCANTONAMENTI PER RISCHI E ONERI</t>
  </si>
  <si>
    <t xml:space="preserve">	 XII. ONERI DIVERSI DI GESTIONE</t>
  </si>
  <si>
    <t xml:space="preserve"> TOTALE COSTI OPERATIVI (B)</t>
  </si>
  <si>
    <t xml:space="preserve"> DIFFERENZA TRA PROVENTI E COSTI OPERATIVI (A - B)</t>
  </si>
  <si>
    <t xml:space="preserve"> C) PROVENTI E ONERI FINANZIARI</t>
  </si>
  <si>
    <t xml:space="preserve">	 1) Proventi finanziari</t>
  </si>
  <si>
    <t>2) Interessi passivi e altri oneri finanziari</t>
  </si>
  <si>
    <t xml:space="preserve">	 3) Utili e perdite su cambi</t>
  </si>
  <si>
    <t xml:space="preserve"> D) RETTIFICHE DI VALORE DI ATTIVITA' FINANZIARIE</t>
  </si>
  <si>
    <t xml:space="preserve">	 1) Rivalutazioni</t>
  </si>
  <si>
    <t xml:space="preserve">	 2) Svalutazioni </t>
  </si>
  <si>
    <t xml:space="preserve"> E) PROVENTI E ONERI STRAORDINARI</t>
  </si>
  <si>
    <t xml:space="preserve">	 1) Proventi</t>
  </si>
  <si>
    <t xml:space="preserve">	 2) Oneri</t>
  </si>
  <si>
    <t xml:space="preserve"> Risultato prima delle imposte (A - B + - C + - D + - E) </t>
  </si>
  <si>
    <t xml:space="preserve"> F) IMPOSTE SUL REDDITO DELL'ESERCIZIO CORRENTI, DIFFERITE, ANTICIPATE</t>
  </si>
  <si>
    <t xml:space="preserve"> RISULTATO DELL'ESERCIZIO</t>
  </si>
  <si>
    <t>BILANCIO CONSOLIDATO - STATO PATRIMONIALE</t>
  </si>
  <si>
    <t>Università degli Studi di Milano          Bilancio Consolidato</t>
  </si>
  <si>
    <t>Attivo Patrimoniale</t>
  </si>
  <si>
    <t>Patrimonio Netto</t>
  </si>
  <si>
    <t>Passivo Patrimoniale</t>
  </si>
  <si>
    <t>Ricavi complessivi</t>
  </si>
  <si>
    <t>Risultato d'esercizio</t>
  </si>
  <si>
    <t>Costi complessivi</t>
  </si>
  <si>
    <t>Contributo annuale</t>
  </si>
  <si>
    <t>Riaddebito costi convenzione</t>
  </si>
  <si>
    <t>Riaddebito costi di gestione</t>
  </si>
  <si>
    <t>Totali rettifiche di consolidamento</t>
  </si>
  <si>
    <t>Crediti UNIMI -            Debiti Fondazione UNIMI</t>
  </si>
  <si>
    <t>Debiti UNIMI -          Crediti Fondazione UNIMI</t>
  </si>
  <si>
    <t>Consolidato al 31/12/2018</t>
  </si>
  <si>
    <t>BILANCIO CONSOLIDATO - CONTO ECONOMICO</t>
  </si>
  <si>
    <t>Rettifiche di UNIMI</t>
  </si>
  <si>
    <t>Rettifiche UNIMI</t>
  </si>
  <si>
    <t>Rettifiche di FONDAZIONE</t>
  </si>
  <si>
    <t>Supporto alla stipula di contratti di ricerca commissionata e deposito brevetti</t>
  </si>
  <si>
    <t>D) RATEATTIVI PER PROGETTI E RICERCHE IN CORSO</t>
  </si>
  <si>
    <t>Consolidato al 31/12/2019</t>
  </si>
  <si>
    <t>Rettifiche di Fondazione UNIMI</t>
  </si>
  <si>
    <t>Consolidato al 31/12/2020</t>
  </si>
  <si>
    <t>E) RATEI E RISCONTI PASSIVI E CONTRIBUTI AGLI INVESTIMENTI</t>
  </si>
  <si>
    <t>D) DEBITI</t>
  </si>
  <si>
    <t>C) TRATTAMENTO DI FINE RAPPORTO DI LAVORO SUBORDINATO</t>
  </si>
  <si>
    <t>B) FONDI PER RISCHI E ONERI</t>
  </si>
  <si>
    <t>A) PATRIMONIO NETTO:</t>
  </si>
  <si>
    <t>C) RATEI E RISCONTI ATTIVI</t>
  </si>
  <si>
    <t>A) IMMOBILIZZAZIONI</t>
  </si>
  <si>
    <t xml:space="preserve"> 2) Interessi passivi e altri oneri finanziari</t>
  </si>
  <si>
    <t>Consolidato al 31/12/2021</t>
  </si>
  <si>
    <t>Contributo annuale per convenzioni 2021</t>
  </si>
  <si>
    <t>Riaddebito costi convenzione e piano industriale 2020</t>
  </si>
  <si>
    <t>Acquisizione di servizi istituzionali</t>
  </si>
  <si>
    <t>Contributo annuale per convenzioni 2022</t>
  </si>
  <si>
    <t>4 convenzioni + integrazione € 8.000</t>
  </si>
  <si>
    <t>Dettaglio:</t>
  </si>
  <si>
    <t>Riaddebito costi di gestione:</t>
  </si>
  <si>
    <t>Restituzione diff 2021 - conv. University Press</t>
  </si>
  <si>
    <t>Rimborso Utilizzo Studio TV CTU</t>
  </si>
  <si>
    <t>TOTALE</t>
  </si>
  <si>
    <t>altri</t>
  </si>
  <si>
    <t>Rimborso TARI</t>
  </si>
  <si>
    <t>Rimborso costi come da Accordo Integrativo della Convenzione Attività Open Innovation e supporto ai progetti Istituzionali - Supporto per le Attività di Gestione dell’Orchestra</t>
  </si>
  <si>
    <t xml:space="preserve">Riaddebito costi convenzione e piano industriale </t>
  </si>
  <si>
    <t>Consolidato al 31/12/2023</t>
  </si>
  <si>
    <t>Università degli Studi di Milano Bilancio Consolidato</t>
  </si>
  <si>
    <t>Ricavi Complessivi</t>
  </si>
  <si>
    <t>Costi Complessivi</t>
  </si>
  <si>
    <t>Risultato di esercizio</t>
  </si>
  <si>
    <t>Rettifiche Conto Economico</t>
  </si>
  <si>
    <t>Rettifiche Stato Patrimoniale</t>
  </si>
  <si>
    <t>Quota di partecipazione</t>
  </si>
  <si>
    <t>Ricavi dalle attività MI-SOM</t>
  </si>
  <si>
    <t>Saldi derivanti dalla liquidazione del piano industriale</t>
  </si>
  <si>
    <t>Altre attività e rimborsi vari</t>
  </si>
  <si>
    <t>Crediti UNIMI -                     Debiti Fondazione UNIMI</t>
  </si>
  <si>
    <t>Debiti UNIMI -                     Crediti Fondazione UNIMI</t>
  </si>
  <si>
    <t>FONDAZIONE UNIMI</t>
  </si>
  <si>
    <t>Consolidato al 31/12/2024</t>
  </si>
  <si>
    <t xml:space="preserve">		 c1) Ratei e risconti attivi</t>
  </si>
  <si>
    <t>Ricavi derivanti dal piano industriale 2024</t>
  </si>
  <si>
    <t>Contributi per progetti di investimento</t>
  </si>
  <si>
    <t>Ricavi da altre attività istituzionali</t>
  </si>
  <si>
    <t xml:space="preserve">	 III. PROVENTI PER GESTIONE DIRETTA INTERVENTI PER IL DIRITTO ALLO STUDIO</t>
  </si>
  <si>
    <t xml:space="preserve">	 IV. ALTRI PROVENTI E RICAVI DIVERSI</t>
  </si>
  <si>
    <t xml:space="preserve">	 V. VARIAZIONE RIMANENZE</t>
  </si>
  <si>
    <t xml:space="preserve">	 VI. INCREMENTO DELLE IMMOBILIZZAZIONI PER LAVORI INTERNI</t>
  </si>
  <si>
    <t xml:space="preserve">	 VII. COSTI DEL PERSONALE</t>
  </si>
  <si>
    <t xml:space="preserve">	 VIII. COSTI DELLA GESTIONE CORRENTE</t>
  </si>
  <si>
    <t xml:space="preserve">	 IX. AMMORTAMENTI E SVALUTAZIONI</t>
  </si>
  <si>
    <t xml:space="preserve">	 X. ACCANTONAMENTI PER RISCHI E ONERI</t>
  </si>
  <si>
    <t xml:space="preserve">	 XI. ONERI DIVERSI DI GESTIONE</t>
  </si>
  <si>
    <t>Ricavi UNIMI -                             Costi Fondazione UNIMI</t>
  </si>
  <si>
    <t>Costi UNIMI -                            Ricavi Fondazione UNIMI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</si>
</sst>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-* #,##0\ _€_-;\-* #,##0\ _€_-;_-* &quot;-&quot;??\ _€_-;_-@_-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u val="singleAccounting"/>
      <sz val="1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2">
    <xf numFmtId="0" fontId="0" fillId="0" borderId="0" xfId="0"/>
    <xf numFmtId="0" fontId="5" fillId="0" borderId="0" xfId="0" applyFont="1" applyBorder="1" applyAlignment="1" applyProtection="1">
      <alignment horizontal="right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right" vertical="center" wrapText="1"/>
    </xf>
    <xf numFmtId="4" fontId="8" fillId="0" borderId="0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8" fillId="4" borderId="0" xfId="1" applyFont="1" applyFill="1" applyBorder="1" applyAlignment="1" applyProtection="1">
      <alignment horizontal="right" vertical="center" wrapText="1"/>
    </xf>
    <xf numFmtId="3" fontId="7" fillId="0" borderId="0" xfId="0" applyNumberFormat="1" applyFont="1" applyBorder="1" applyAlignment="1" applyProtection="1">
      <alignment horizontal="right" vertical="center" wrapText="1"/>
    </xf>
    <xf numFmtId="166" fontId="8" fillId="0" borderId="1" xfId="1" applyNumberFormat="1" applyFont="1" applyBorder="1" applyAlignment="1" applyProtection="1">
      <alignment horizontal="right" vertical="center" wrapText="1"/>
    </xf>
    <xf numFmtId="167" fontId="10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 applyProtection="1">
      <alignment horizontal="right" vertical="center" wrapText="1"/>
    </xf>
    <xf numFmtId="167" fontId="12" fillId="0" borderId="1" xfId="0" applyNumberFormat="1" applyFont="1" applyBorder="1" applyAlignment="1">
      <alignment vertical="center"/>
    </xf>
    <xf numFmtId="166" fontId="8" fillId="5" borderId="2" xfId="1" applyNumberFormat="1" applyFont="1" applyFill="1" applyBorder="1" applyAlignment="1" applyProtection="1">
      <alignment horizontal="right" vertical="center" wrapText="1"/>
    </xf>
    <xf numFmtId="167" fontId="10" fillId="5" borderId="2" xfId="0" applyNumberFormat="1" applyFont="1" applyFill="1" applyBorder="1" applyAlignment="1">
      <alignment vertical="center"/>
    </xf>
    <xf numFmtId="164" fontId="12" fillId="5" borderId="2" xfId="0" applyNumberFormat="1" applyFont="1" applyFill="1" applyBorder="1" applyAlignment="1">
      <alignment vertical="center"/>
    </xf>
    <xf numFmtId="0" fontId="6" fillId="3" borderId="3" xfId="0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3" fontId="8" fillId="6" borderId="5" xfId="0" applyNumberFormat="1" applyFont="1" applyFill="1" applyBorder="1" applyAlignment="1" applyProtection="1">
      <alignment horizontal="right" vertical="center" wrapText="1"/>
    </xf>
    <xf numFmtId="167" fontId="12" fillId="5" borderId="2" xfId="0" applyNumberFormat="1" applyFont="1" applyFill="1" applyBorder="1" applyAlignment="1">
      <alignment vertical="center"/>
    </xf>
    <xf numFmtId="0" fontId="3" fillId="3" borderId="6" xfId="0" applyFont="1" applyFill="1" applyBorder="1" applyAlignment="1" applyProtection="1">
      <alignment horizontal="center" vertical="center" wrapText="1"/>
    </xf>
    <xf numFmtId="166" fontId="13" fillId="0" borderId="7" xfId="1" applyNumberFormat="1" applyFont="1" applyBorder="1" applyAlignment="1" applyProtection="1">
      <alignment horizontal="right" vertical="center" wrapText="1"/>
    </xf>
    <xf numFmtId="166" fontId="13" fillId="0" borderId="8" xfId="1" applyNumberFormat="1" applyFont="1" applyBorder="1" applyAlignment="1" applyProtection="1">
      <alignment horizontal="right" vertical="center" wrapText="1"/>
    </xf>
    <xf numFmtId="166" fontId="13" fillId="0" borderId="9" xfId="1" applyNumberFormat="1" applyFont="1" applyBorder="1" applyAlignment="1" applyProtection="1">
      <alignment horizontal="right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167" fontId="6" fillId="3" borderId="13" xfId="0" applyNumberFormat="1" applyFont="1" applyFill="1" applyBorder="1" applyAlignment="1" applyProtection="1">
      <alignment horizontal="right" vertical="center" wrapText="1"/>
    </xf>
    <xf numFmtId="166" fontId="10" fillId="5" borderId="2" xfId="0" applyNumberFormat="1" applyFont="1" applyFill="1" applyBorder="1" applyAlignment="1">
      <alignment vertical="center"/>
    </xf>
    <xf numFmtId="166" fontId="7" fillId="0" borderId="0" xfId="0" applyNumberFormat="1" applyFont="1" applyBorder="1" applyAlignment="1" applyProtection="1">
      <alignment horizontal="right" vertical="center" wrapText="1"/>
    </xf>
    <xf numFmtId="166" fontId="10" fillId="0" borderId="0" xfId="0" applyNumberFormat="1" applyFont="1" applyBorder="1" applyAlignment="1">
      <alignment vertical="center"/>
    </xf>
    <xf numFmtId="166" fontId="8" fillId="0" borderId="1" xfId="0" applyNumberFormat="1" applyFont="1" applyBorder="1" applyAlignment="1" applyProtection="1">
      <alignment horizontal="right" vertical="center" wrapText="1"/>
    </xf>
    <xf numFmtId="166" fontId="10" fillId="0" borderId="1" xfId="0" applyNumberFormat="1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166" fontId="8" fillId="0" borderId="0" xfId="0" applyNumberFormat="1" applyFont="1" applyBorder="1" applyAlignment="1" applyProtection="1">
      <alignment horizontal="right" vertical="center" wrapText="1"/>
    </xf>
    <xf numFmtId="166" fontId="8" fillId="5" borderId="2" xfId="0" applyNumberFormat="1" applyFont="1" applyFill="1" applyBorder="1" applyAlignment="1" applyProtection="1">
      <alignment horizontal="right" vertical="center" wrapText="1"/>
    </xf>
    <xf numFmtId="165" fontId="0" fillId="0" borderId="0" xfId="1" applyFont="1"/>
    <xf numFmtId="166" fontId="8" fillId="0" borderId="0" xfId="0" applyNumberFormat="1" applyFont="1" applyBorder="1" applyAlignment="1" applyProtection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/>
    </xf>
    <xf numFmtId="166" fontId="8" fillId="0" borderId="0" xfId="1" applyNumberFormat="1" applyFont="1" applyBorder="1" applyAlignment="1" applyProtection="1">
      <alignment horizontal="right" vertical="center" wrapText="1"/>
    </xf>
    <xf numFmtId="166" fontId="8" fillId="0" borderId="1" xfId="1" applyNumberFormat="1" applyFont="1" applyFill="1" applyBorder="1" applyAlignment="1" applyProtection="1">
      <alignment horizontal="right" vertical="center" wrapText="1"/>
    </xf>
    <xf numFmtId="166" fontId="6" fillId="3" borderId="6" xfId="1" applyNumberFormat="1" applyFont="1" applyFill="1" applyBorder="1" applyAlignment="1" applyProtection="1">
      <alignment horizontal="center" vertical="center" wrapText="1"/>
    </xf>
    <xf numFmtId="166" fontId="13" fillId="0" borderId="14" xfId="1" applyNumberFormat="1" applyFont="1" applyBorder="1" applyAlignment="1" applyProtection="1">
      <alignment horizontal="right" vertical="center" wrapText="1"/>
    </xf>
    <xf numFmtId="166" fontId="13" fillId="0" borderId="15" xfId="1" applyNumberFormat="1" applyFont="1" applyBorder="1" applyAlignment="1" applyProtection="1">
      <alignment horizontal="right" vertical="center" wrapText="1"/>
    </xf>
    <xf numFmtId="166" fontId="13" fillId="0" borderId="16" xfId="1" applyNumberFormat="1" applyFont="1" applyBorder="1" applyAlignment="1" applyProtection="1">
      <alignment horizontal="right" vertical="center" wrapText="1"/>
    </xf>
    <xf numFmtId="166" fontId="0" fillId="0" borderId="0" xfId="1" applyNumberFormat="1" applyFont="1"/>
    <xf numFmtId="0" fontId="3" fillId="3" borderId="17" xfId="0" applyFont="1" applyFill="1" applyBorder="1" applyAlignment="1" applyProtection="1">
      <alignment horizontal="center" vertical="center" wrapText="1"/>
    </xf>
    <xf numFmtId="165" fontId="6" fillId="3" borderId="18" xfId="1" applyFont="1" applyFill="1" applyBorder="1" applyAlignment="1" applyProtection="1">
      <alignment horizontal="center" vertical="center" wrapText="1"/>
    </xf>
    <xf numFmtId="165" fontId="6" fillId="3" borderId="19" xfId="1" applyFont="1" applyFill="1" applyBorder="1" applyAlignment="1" applyProtection="1">
      <alignment horizontal="center" vertical="center" wrapText="1"/>
    </xf>
    <xf numFmtId="165" fontId="13" fillId="0" borderId="20" xfId="1" applyFont="1" applyBorder="1" applyAlignment="1" applyProtection="1">
      <alignment horizontal="right" vertical="center" wrapText="1"/>
    </xf>
    <xf numFmtId="165" fontId="13" fillId="0" borderId="21" xfId="1" applyFont="1" applyBorder="1" applyAlignment="1" applyProtection="1">
      <alignment horizontal="right" vertical="center" wrapText="1"/>
    </xf>
    <xf numFmtId="165" fontId="13" fillId="0" borderId="22" xfId="1" applyFont="1" applyBorder="1" applyAlignment="1" applyProtection="1">
      <alignment horizontal="right" vertical="center" wrapText="1"/>
    </xf>
    <xf numFmtId="166" fontId="8" fillId="0" borderId="0" xfId="1" applyNumberFormat="1" applyFont="1" applyFill="1" applyBorder="1" applyAlignment="1" applyProtection="1">
      <alignment horizontal="right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166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8" fillId="5" borderId="28" xfId="0" applyFont="1" applyFill="1" applyBorder="1" applyAlignment="1" applyProtection="1">
      <alignment horizontal="left" vertical="center" wrapText="1"/>
    </xf>
    <xf numFmtId="167" fontId="10" fillId="5" borderId="21" xfId="0" applyNumberFormat="1" applyFont="1" applyFill="1" applyBorder="1" applyAlignment="1">
      <alignment vertical="center"/>
    </xf>
    <xf numFmtId="0" fontId="7" fillId="0" borderId="26" xfId="0" applyFont="1" applyBorder="1" applyAlignment="1" applyProtection="1">
      <alignment horizontal="left" vertical="center" wrapText="1"/>
    </xf>
    <xf numFmtId="167" fontId="10" fillId="0" borderId="27" xfId="0" applyNumberFormat="1" applyFont="1" applyBorder="1" applyAlignment="1">
      <alignment vertical="center"/>
    </xf>
    <xf numFmtId="0" fontId="8" fillId="0" borderId="29" xfId="0" applyFont="1" applyBorder="1" applyAlignment="1" applyProtection="1">
      <alignment horizontal="left" vertical="center" wrapText="1"/>
    </xf>
    <xf numFmtId="167" fontId="10" fillId="0" borderId="30" xfId="0" applyNumberFormat="1" applyFont="1" applyBorder="1" applyAlignment="1">
      <alignment vertical="center"/>
    </xf>
    <xf numFmtId="0" fontId="8" fillId="2" borderId="26" xfId="0" applyFont="1" applyFill="1" applyBorder="1" applyAlignment="1" applyProtection="1">
      <alignment horizontal="left" vertical="center" wrapText="1"/>
    </xf>
    <xf numFmtId="4" fontId="8" fillId="0" borderId="26" xfId="0" applyNumberFormat="1" applyFont="1" applyBorder="1" applyAlignment="1" applyProtection="1">
      <alignment horizontal="right" vertical="center" wrapText="1"/>
    </xf>
    <xf numFmtId="164" fontId="10" fillId="0" borderId="27" xfId="0" applyNumberFormat="1" applyFont="1" applyBorder="1" applyAlignment="1">
      <alignment vertical="center"/>
    </xf>
    <xf numFmtId="0" fontId="8" fillId="0" borderId="26" xfId="0" applyFont="1" applyBorder="1" applyAlignment="1" applyProtection="1">
      <alignment horizontal="left" vertical="center" wrapText="1"/>
    </xf>
    <xf numFmtId="0" fontId="8" fillId="2" borderId="26" xfId="0" applyFont="1" applyFill="1" applyBorder="1" applyAlignment="1" applyProtection="1">
      <alignment vertical="center" wrapText="1"/>
    </xf>
    <xf numFmtId="0" fontId="8" fillId="4" borderId="26" xfId="0" applyFont="1" applyFill="1" applyBorder="1" applyAlignment="1" applyProtection="1">
      <alignment horizontal="left" vertical="center" wrapText="1"/>
    </xf>
    <xf numFmtId="0" fontId="8" fillId="6" borderId="31" xfId="0" applyFont="1" applyFill="1" applyBorder="1" applyAlignment="1" applyProtection="1">
      <alignment horizontal="left" vertical="center" wrapText="1"/>
    </xf>
    <xf numFmtId="167" fontId="8" fillId="6" borderId="20" xfId="0" applyNumberFormat="1" applyFont="1" applyFill="1" applyBorder="1" applyAlignment="1" applyProtection="1">
      <alignment horizontal="righ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3" fontId="8" fillId="5" borderId="4" xfId="0" applyNumberFormat="1" applyFont="1" applyFill="1" applyBorder="1" applyAlignment="1" applyProtection="1">
      <alignment horizontal="right" vertical="center" wrapText="1"/>
    </xf>
    <xf numFmtId="3" fontId="10" fillId="5" borderId="4" xfId="0" applyNumberFormat="1" applyFont="1" applyFill="1" applyBorder="1" applyAlignment="1">
      <alignment vertical="center"/>
    </xf>
    <xf numFmtId="3" fontId="12" fillId="5" borderId="4" xfId="0" applyNumberFormat="1" applyFont="1" applyFill="1" applyBorder="1" applyAlignment="1">
      <alignment vertical="center"/>
    </xf>
    <xf numFmtId="3" fontId="10" fillId="5" borderId="13" xfId="0" applyNumberFormat="1" applyFont="1" applyFill="1" applyBorder="1" applyAlignment="1">
      <alignment vertical="center"/>
    </xf>
    <xf numFmtId="0" fontId="15" fillId="0" borderId="0" xfId="0" applyFont="1" applyBorder="1"/>
    <xf numFmtId="164" fontId="15" fillId="0" borderId="0" xfId="0" applyNumberFormat="1" applyFont="1" applyBorder="1"/>
    <xf numFmtId="166" fontId="15" fillId="0" borderId="0" xfId="1" applyNumberFormat="1" applyFont="1" applyBorder="1"/>
    <xf numFmtId="166" fontId="17" fillId="0" borderId="0" xfId="1" applyNumberFormat="1" applyFont="1" applyBorder="1"/>
    <xf numFmtId="0" fontId="17" fillId="0" borderId="0" xfId="0" applyFont="1" applyBorder="1"/>
    <xf numFmtId="166" fontId="15" fillId="0" borderId="0" xfId="0" applyNumberFormat="1" applyFont="1" applyBorder="1"/>
    <xf numFmtId="166" fontId="15" fillId="0" borderId="0" xfId="1" applyNumberFormat="1" applyFont="1" applyFill="1" applyBorder="1"/>
    <xf numFmtId="0" fontId="15" fillId="0" borderId="0" xfId="0" applyFont="1" applyFill="1" applyBorder="1"/>
    <xf numFmtId="166" fontId="15" fillId="5" borderId="2" xfId="1" applyNumberFormat="1" applyFont="1" applyFill="1" applyBorder="1"/>
    <xf numFmtId="166" fontId="3" fillId="3" borderId="2" xfId="1" applyNumberFormat="1" applyFont="1" applyFill="1" applyBorder="1" applyAlignment="1" applyProtection="1">
      <alignment horizontal="right" vertical="center" wrapText="1"/>
    </xf>
    <xf numFmtId="166" fontId="17" fillId="5" borderId="2" xfId="1" applyNumberFormat="1" applyFont="1" applyFill="1" applyBorder="1"/>
    <xf numFmtId="0" fontId="18" fillId="5" borderId="28" xfId="0" applyFont="1" applyFill="1" applyBorder="1" applyAlignment="1" applyProtection="1">
      <alignment horizontal="left" vertical="center" wrapText="1"/>
    </xf>
    <xf numFmtId="0" fontId="19" fillId="0" borderId="26" xfId="0" applyFont="1" applyBorder="1" applyAlignment="1" applyProtection="1">
      <alignment horizontal="left" vertical="center" wrapText="1"/>
    </xf>
    <xf numFmtId="0" fontId="16" fillId="0" borderId="26" xfId="0" applyFont="1" applyBorder="1" applyAlignment="1" applyProtection="1">
      <alignment horizontal="left" vertical="center" wrapText="1"/>
    </xf>
    <xf numFmtId="0" fontId="16" fillId="0" borderId="26" xfId="0" applyFont="1" applyFill="1" applyBorder="1" applyAlignment="1" applyProtection="1">
      <alignment horizontal="left" vertical="center" wrapText="1"/>
    </xf>
    <xf numFmtId="0" fontId="3" fillId="3" borderId="28" xfId="0" applyFont="1" applyFill="1" applyBorder="1" applyAlignment="1" applyProtection="1">
      <alignment horizontal="left" vertical="center" wrapText="1"/>
    </xf>
    <xf numFmtId="164" fontId="15" fillId="5" borderId="21" xfId="0" applyNumberFormat="1" applyFont="1" applyFill="1" applyBorder="1"/>
    <xf numFmtId="165" fontId="3" fillId="3" borderId="28" xfId="1" applyFont="1" applyFill="1" applyBorder="1" applyAlignment="1" applyProtection="1">
      <alignment horizontal="left" vertical="center" wrapText="1"/>
    </xf>
    <xf numFmtId="0" fontId="3" fillId="3" borderId="32" xfId="0" applyFont="1" applyFill="1" applyBorder="1" applyAlignment="1" applyProtection="1">
      <alignment horizontal="left" vertical="center" wrapText="1"/>
    </xf>
    <xf numFmtId="3" fontId="3" fillId="3" borderId="33" xfId="0" applyNumberFormat="1" applyFont="1" applyFill="1" applyBorder="1" applyAlignment="1" applyProtection="1">
      <alignment horizontal="right" vertical="center" wrapText="1"/>
    </xf>
    <xf numFmtId="166" fontId="0" fillId="0" borderId="0" xfId="0" applyNumberFormat="1"/>
    <xf numFmtId="3" fontId="10" fillId="0" borderId="0" xfId="0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164" fontId="17" fillId="0" borderId="0" xfId="0" applyNumberFormat="1" applyFont="1" applyBorder="1"/>
    <xf numFmtId="166" fontId="17" fillId="0" borderId="0" xfId="0" applyNumberFormat="1" applyFont="1" applyBorder="1"/>
    <xf numFmtId="167" fontId="15" fillId="0" borderId="0" xfId="0" applyNumberFormat="1" applyFont="1" applyBorder="1"/>
    <xf numFmtId="0" fontId="18" fillId="0" borderId="34" xfId="0" applyFont="1" applyBorder="1" applyAlignment="1" applyProtection="1">
      <alignment horizontal="left" vertical="center" wrapText="1"/>
    </xf>
    <xf numFmtId="165" fontId="18" fillId="0" borderId="35" xfId="1" applyFont="1" applyBorder="1" applyAlignment="1" applyProtection="1">
      <alignment horizontal="right" vertical="center" wrapText="1"/>
    </xf>
    <xf numFmtId="165" fontId="18" fillId="0" borderId="13" xfId="1" applyFont="1" applyBorder="1" applyAlignment="1" applyProtection="1">
      <alignment horizontal="right" vertical="center" wrapText="1"/>
    </xf>
    <xf numFmtId="43" fontId="9" fillId="0" borderId="0" xfId="0" applyNumberFormat="1" applyFont="1" applyBorder="1" applyAlignment="1">
      <alignment vertical="center"/>
    </xf>
    <xf numFmtId="0" fontId="8" fillId="5" borderId="26" xfId="0" applyFont="1" applyFill="1" applyBorder="1" applyAlignment="1" applyProtection="1">
      <alignment horizontal="left" vertical="center" wrapText="1"/>
    </xf>
    <xf numFmtId="4" fontId="8" fillId="5" borderId="0" xfId="0" applyNumberFormat="1" applyFont="1" applyFill="1" applyBorder="1" applyAlignment="1" applyProtection="1">
      <alignment horizontal="right" vertical="center" wrapText="1"/>
    </xf>
    <xf numFmtId="164" fontId="10" fillId="5" borderId="0" xfId="0" applyNumberFormat="1" applyFont="1" applyFill="1" applyBorder="1" applyAlignment="1">
      <alignment vertical="center"/>
    </xf>
    <xf numFmtId="164" fontId="12" fillId="5" borderId="0" xfId="0" applyNumberFormat="1" applyFont="1" applyFill="1" applyBorder="1" applyAlignment="1">
      <alignment vertical="center"/>
    </xf>
    <xf numFmtId="167" fontId="10" fillId="5" borderId="27" xfId="0" applyNumberFormat="1" applyFont="1" applyFill="1" applyBorder="1" applyAlignment="1">
      <alignment vertical="center"/>
    </xf>
    <xf numFmtId="0" fontId="8" fillId="0" borderId="26" xfId="0" applyFont="1" applyFill="1" applyBorder="1" applyAlignment="1" applyProtection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66" fontId="6" fillId="3" borderId="4" xfId="1" applyNumberFormat="1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166" fontId="8" fillId="5" borderId="28" xfId="1" applyNumberFormat="1" applyFont="1" applyFill="1" applyBorder="1" applyAlignment="1" applyProtection="1">
      <alignment horizontal="right" vertical="center" wrapText="1"/>
    </xf>
    <xf numFmtId="0" fontId="7" fillId="0" borderId="26" xfId="0" applyFont="1" applyBorder="1" applyAlignment="1" applyProtection="1">
      <alignment horizontal="right" vertical="center" wrapText="1"/>
    </xf>
    <xf numFmtId="166" fontId="8" fillId="0" borderId="29" xfId="1" applyNumberFormat="1" applyFont="1" applyBorder="1" applyAlignment="1" applyProtection="1">
      <alignment horizontal="right" vertical="center" wrapText="1"/>
    </xf>
    <xf numFmtId="4" fontId="7" fillId="0" borderId="26" xfId="0" applyNumberFormat="1" applyFont="1" applyBorder="1" applyAlignment="1" applyProtection="1">
      <alignment horizontal="right" vertical="center" wrapText="1"/>
    </xf>
    <xf numFmtId="3" fontId="8" fillId="0" borderId="29" xfId="0" applyNumberFormat="1" applyFont="1" applyBorder="1" applyAlignment="1" applyProtection="1">
      <alignment horizontal="right" vertical="center" wrapText="1"/>
    </xf>
    <xf numFmtId="0" fontId="8" fillId="0" borderId="26" xfId="0" applyFont="1" applyBorder="1" applyAlignment="1" applyProtection="1">
      <alignment horizontal="right" vertical="center" wrapText="1"/>
    </xf>
    <xf numFmtId="165" fontId="8" fillId="4" borderId="26" xfId="1" applyFont="1" applyFill="1" applyBorder="1" applyAlignment="1" applyProtection="1">
      <alignment horizontal="right" vertical="center" wrapText="1"/>
    </xf>
    <xf numFmtId="4" fontId="8" fillId="5" borderId="26" xfId="0" applyNumberFormat="1" applyFont="1" applyFill="1" applyBorder="1" applyAlignment="1" applyProtection="1">
      <alignment horizontal="right" vertical="center" wrapText="1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166" fontId="7" fillId="0" borderId="26" xfId="0" applyNumberFormat="1" applyFont="1" applyBorder="1" applyAlignment="1" applyProtection="1">
      <alignment horizontal="right" vertical="center" wrapText="1"/>
    </xf>
    <xf numFmtId="166" fontId="8" fillId="0" borderId="29" xfId="0" applyNumberFormat="1" applyFont="1" applyBorder="1" applyAlignment="1" applyProtection="1">
      <alignment horizontal="right" vertical="center" wrapText="1"/>
    </xf>
    <xf numFmtId="166" fontId="8" fillId="0" borderId="29" xfId="1" applyNumberFormat="1" applyFont="1" applyFill="1" applyBorder="1" applyAlignment="1" applyProtection="1">
      <alignment horizontal="right" vertical="center" wrapText="1"/>
    </xf>
    <xf numFmtId="166" fontId="12" fillId="0" borderId="26" xfId="0" applyNumberFormat="1" applyFont="1" applyBorder="1" applyAlignment="1">
      <alignment vertical="center"/>
    </xf>
    <xf numFmtId="166" fontId="8" fillId="0" borderId="26" xfId="0" applyNumberFormat="1" applyFont="1" applyBorder="1" applyAlignment="1" applyProtection="1">
      <alignment horizontal="right" vertical="center" wrapText="1"/>
    </xf>
    <xf numFmtId="166" fontId="8" fillId="0" borderId="26" xfId="1" applyNumberFormat="1" applyFont="1" applyFill="1" applyBorder="1" applyAlignment="1" applyProtection="1">
      <alignment horizontal="right" vertical="center" wrapText="1"/>
    </xf>
    <xf numFmtId="166" fontId="8" fillId="5" borderId="28" xfId="0" applyNumberFormat="1" applyFont="1" applyFill="1" applyBorder="1" applyAlignment="1" applyProtection="1">
      <alignment horizontal="right" vertical="center" wrapText="1"/>
    </xf>
    <xf numFmtId="3" fontId="8" fillId="5" borderId="3" xfId="0" applyNumberFormat="1" applyFont="1" applyFill="1" applyBorder="1" applyAlignment="1" applyProtection="1">
      <alignment horizontal="right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10" fillId="0" borderId="36" xfId="0" applyFont="1" applyBorder="1" applyAlignment="1">
      <alignment vertical="center"/>
    </xf>
    <xf numFmtId="167" fontId="10" fillId="5" borderId="11" xfId="0" applyNumberFormat="1" applyFont="1" applyFill="1" applyBorder="1" applyAlignment="1">
      <alignment vertical="center"/>
    </xf>
    <xf numFmtId="164" fontId="10" fillId="0" borderId="36" xfId="0" applyNumberFormat="1" applyFont="1" applyBorder="1" applyAlignment="1">
      <alignment vertical="center"/>
    </xf>
    <xf numFmtId="167" fontId="10" fillId="0" borderId="37" xfId="0" applyNumberFormat="1" applyFont="1" applyBorder="1" applyAlignment="1">
      <alignment vertical="center"/>
    </xf>
    <xf numFmtId="164" fontId="10" fillId="0" borderId="37" xfId="0" applyNumberFormat="1" applyFont="1" applyBorder="1" applyAlignment="1">
      <alignment vertical="center"/>
    </xf>
    <xf numFmtId="164" fontId="10" fillId="5" borderId="36" xfId="0" applyNumberFormat="1" applyFont="1" applyFill="1" applyBorder="1" applyAlignment="1">
      <alignment vertical="center"/>
    </xf>
    <xf numFmtId="3" fontId="6" fillId="3" borderId="34" xfId="0" applyNumberFormat="1" applyFont="1" applyFill="1" applyBorder="1" applyAlignment="1" applyProtection="1">
      <alignment horizontal="right" vertical="center" wrapText="1"/>
    </xf>
    <xf numFmtId="166" fontId="10" fillId="5" borderId="11" xfId="0" applyNumberFormat="1" applyFont="1" applyFill="1" applyBorder="1" applyAlignment="1">
      <alignment vertical="center"/>
    </xf>
    <xf numFmtId="166" fontId="10" fillId="0" borderId="36" xfId="0" applyNumberFormat="1" applyFont="1" applyBorder="1" applyAlignment="1">
      <alignment vertical="center"/>
    </xf>
    <xf numFmtId="166" fontId="10" fillId="0" borderId="37" xfId="0" applyNumberFormat="1" applyFont="1" applyBorder="1" applyAlignment="1">
      <alignment vertical="center"/>
    </xf>
    <xf numFmtId="3" fontId="10" fillId="5" borderId="34" xfId="0" applyNumberFormat="1" applyFont="1" applyFill="1" applyBorder="1" applyAlignment="1">
      <alignment vertical="center"/>
    </xf>
    <xf numFmtId="167" fontId="10" fillId="0" borderId="36" xfId="0" applyNumberFormat="1" applyFont="1" applyBorder="1" applyAlignment="1">
      <alignment vertical="center"/>
    </xf>
    <xf numFmtId="167" fontId="10" fillId="5" borderId="36" xfId="0" applyNumberFormat="1" applyFont="1" applyFill="1" applyBorder="1" applyAlignment="1">
      <alignment vertical="center"/>
    </xf>
    <xf numFmtId="167" fontId="6" fillId="3" borderId="34" xfId="0" applyNumberFormat="1" applyFont="1" applyFill="1" applyBorder="1" applyAlignment="1" applyProtection="1">
      <alignment horizontal="right" vertical="center" wrapText="1"/>
    </xf>
    <xf numFmtId="167" fontId="12" fillId="0" borderId="1" xfId="0" applyNumberFormat="1" applyFont="1" applyFill="1" applyBorder="1" applyAlignment="1">
      <alignment vertical="center"/>
    </xf>
    <xf numFmtId="167" fontId="12" fillId="0" borderId="2" xfId="0" applyNumberFormat="1" applyFont="1" applyFill="1" applyBorder="1" applyAlignment="1">
      <alignment vertical="center"/>
    </xf>
    <xf numFmtId="3" fontId="3" fillId="3" borderId="22" xfId="0" applyNumberFormat="1" applyFont="1" applyFill="1" applyBorder="1" applyAlignment="1" applyProtection="1">
      <alignment horizontal="right" vertical="center" wrapText="1"/>
    </xf>
    <xf numFmtId="0" fontId="16" fillId="5" borderId="28" xfId="0" applyFont="1" applyFill="1" applyBorder="1" applyAlignment="1" applyProtection="1">
      <alignment horizontal="right" vertical="center" wrapText="1"/>
    </xf>
    <xf numFmtId="166" fontId="19" fillId="0" borderId="26" xfId="1" applyNumberFormat="1" applyFont="1" applyBorder="1" applyAlignment="1" applyProtection="1">
      <alignment horizontal="right" vertical="center" wrapText="1"/>
    </xf>
    <xf numFmtId="4" fontId="16" fillId="0" borderId="26" xfId="0" applyNumberFormat="1" applyFont="1" applyBorder="1" applyAlignment="1" applyProtection="1">
      <alignment horizontal="right" vertical="center" wrapText="1"/>
    </xf>
    <xf numFmtId="3" fontId="19" fillId="0" borderId="26" xfId="0" applyNumberFormat="1" applyFont="1" applyBorder="1" applyAlignment="1" applyProtection="1">
      <alignment horizontal="right" vertical="center" wrapText="1"/>
    </xf>
    <xf numFmtId="3" fontId="3" fillId="3" borderId="28" xfId="0" applyNumberFormat="1" applyFont="1" applyFill="1" applyBorder="1" applyAlignment="1" applyProtection="1">
      <alignment horizontal="right" vertical="center" wrapText="1"/>
    </xf>
    <xf numFmtId="166" fontId="16" fillId="0" borderId="26" xfId="0" applyNumberFormat="1" applyFont="1" applyBorder="1" applyAlignment="1" applyProtection="1">
      <alignment horizontal="right" vertical="center" wrapText="1"/>
    </xf>
    <xf numFmtId="166" fontId="19" fillId="0" borderId="26" xfId="0" applyNumberFormat="1" applyFont="1" applyBorder="1" applyAlignment="1" applyProtection="1">
      <alignment horizontal="right" vertical="center" wrapText="1"/>
    </xf>
    <xf numFmtId="166" fontId="19" fillId="0" borderId="26" xfId="1" applyNumberFormat="1" applyFont="1" applyFill="1" applyBorder="1" applyAlignment="1" applyProtection="1">
      <alignment horizontal="right" vertical="center" wrapText="1"/>
    </xf>
    <xf numFmtId="166" fontId="16" fillId="0" borderId="26" xfId="0" applyNumberFormat="1" applyFont="1" applyFill="1" applyBorder="1" applyAlignment="1" applyProtection="1">
      <alignment horizontal="right" vertical="center" wrapText="1"/>
    </xf>
    <xf numFmtId="3" fontId="18" fillId="5" borderId="28" xfId="1" applyNumberFormat="1" applyFont="1" applyFill="1" applyBorder="1" applyAlignment="1" applyProtection="1">
      <alignment horizontal="right" vertical="center" wrapText="1"/>
    </xf>
    <xf numFmtId="3" fontId="16" fillId="0" borderId="26" xfId="0" applyNumberFormat="1" applyFont="1" applyBorder="1" applyAlignment="1" applyProtection="1">
      <alignment horizontal="right" vertical="center" wrapText="1"/>
    </xf>
    <xf numFmtId="3" fontId="18" fillId="5" borderId="28" xfId="0" applyNumberFormat="1" applyFont="1" applyFill="1" applyBorder="1" applyAlignment="1" applyProtection="1">
      <alignment horizontal="right" vertical="center" wrapText="1"/>
    </xf>
    <xf numFmtId="3" fontId="13" fillId="0" borderId="26" xfId="0" applyNumberFormat="1" applyFont="1" applyFill="1" applyBorder="1" applyAlignment="1" applyProtection="1">
      <alignment horizontal="right" vertical="center" wrapText="1"/>
    </xf>
    <xf numFmtId="3" fontId="3" fillId="3" borderId="32" xfId="0" applyNumberFormat="1" applyFont="1" applyFill="1" applyBorder="1" applyAlignment="1" applyProtection="1">
      <alignment horizontal="right" vertical="center" wrapText="1"/>
    </xf>
    <xf numFmtId="164" fontId="15" fillId="0" borderId="36" xfId="0" applyNumberFormat="1" applyFont="1" applyBorder="1"/>
    <xf numFmtId="3" fontId="3" fillId="3" borderId="11" xfId="0" applyNumberFormat="1" applyFont="1" applyFill="1" applyBorder="1" applyAlignment="1" applyProtection="1">
      <alignment horizontal="right" vertical="center" wrapText="1"/>
    </xf>
    <xf numFmtId="164" fontId="15" fillId="5" borderId="11" xfId="0" applyNumberFormat="1" applyFont="1" applyFill="1" applyBorder="1"/>
    <xf numFmtId="166" fontId="15" fillId="0" borderId="36" xfId="0" applyNumberFormat="1" applyFont="1" applyBorder="1"/>
    <xf numFmtId="3" fontId="15" fillId="5" borderId="11" xfId="0" applyNumberFormat="1" applyFont="1" applyFill="1" applyBorder="1"/>
    <xf numFmtId="3" fontId="15" fillId="0" borderId="36" xfId="0" applyNumberFormat="1" applyFont="1" applyBorder="1"/>
    <xf numFmtId="3" fontId="3" fillId="3" borderId="12" xfId="0" applyNumberFormat="1" applyFont="1" applyFill="1" applyBorder="1" applyAlignment="1" applyProtection="1">
      <alignment horizontal="right" vertical="center" wrapText="1"/>
    </xf>
    <xf numFmtId="167" fontId="15" fillId="0" borderId="36" xfId="0" applyNumberFormat="1" applyFont="1" applyBorder="1"/>
    <xf numFmtId="0" fontId="18" fillId="5" borderId="29" xfId="0" applyFont="1" applyFill="1" applyBorder="1" applyAlignment="1" applyProtection="1">
      <alignment horizontal="left" vertical="center" wrapText="1"/>
    </xf>
    <xf numFmtId="0" fontId="16" fillId="5" borderId="29" xfId="0" applyFont="1" applyFill="1" applyBorder="1" applyAlignment="1" applyProtection="1">
      <alignment horizontal="right" vertical="center" wrapText="1"/>
    </xf>
    <xf numFmtId="0" fontId="15" fillId="5" borderId="37" xfId="0" applyFont="1" applyFill="1" applyBorder="1"/>
    <xf numFmtId="166" fontId="15" fillId="5" borderId="1" xfId="1" applyNumberFormat="1" applyFont="1" applyFill="1" applyBorder="1"/>
    <xf numFmtId="0" fontId="15" fillId="5" borderId="30" xfId="0" applyFont="1" applyFill="1" applyBorder="1"/>
    <xf numFmtId="0" fontId="3" fillId="3" borderId="3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6" fillId="5" borderId="38" xfId="0" applyFont="1" applyFill="1" applyBorder="1" applyAlignment="1" applyProtection="1">
      <alignment horizontal="right" vertical="center" wrapText="1"/>
    </xf>
    <xf numFmtId="166" fontId="19" fillId="0" borderId="39" xfId="1" applyNumberFormat="1" applyFont="1" applyBorder="1" applyAlignment="1" applyProtection="1">
      <alignment horizontal="right" vertical="center" wrapText="1"/>
    </xf>
    <xf numFmtId="4" fontId="16" fillId="0" borderId="39" xfId="0" applyNumberFormat="1" applyFont="1" applyBorder="1" applyAlignment="1" applyProtection="1">
      <alignment horizontal="right" vertical="center" wrapText="1"/>
    </xf>
    <xf numFmtId="165" fontId="19" fillId="0" borderId="39" xfId="1" applyFont="1" applyBorder="1" applyAlignment="1" applyProtection="1">
      <alignment horizontal="right" vertical="center" wrapText="1"/>
    </xf>
    <xf numFmtId="3" fontId="19" fillId="0" borderId="39" xfId="0" applyNumberFormat="1" applyFont="1" applyBorder="1" applyAlignment="1" applyProtection="1">
      <alignment horizontal="right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0" fontId="16" fillId="5" borderId="14" xfId="0" applyFont="1" applyFill="1" applyBorder="1" applyAlignment="1" applyProtection="1">
      <alignment horizontal="right" vertical="center" wrapText="1"/>
    </xf>
    <xf numFmtId="166" fontId="16" fillId="0" borderId="39" xfId="0" applyNumberFormat="1" applyFont="1" applyBorder="1" applyAlignment="1" applyProtection="1">
      <alignment horizontal="right" vertical="center" wrapText="1"/>
    </xf>
    <xf numFmtId="166" fontId="19" fillId="0" borderId="39" xfId="0" applyNumberFormat="1" applyFont="1" applyBorder="1" applyAlignment="1" applyProtection="1">
      <alignment horizontal="right" vertical="center" wrapText="1"/>
    </xf>
    <xf numFmtId="3" fontId="18" fillId="5" borderId="14" xfId="1" applyNumberFormat="1" applyFont="1" applyFill="1" applyBorder="1" applyAlignment="1" applyProtection="1">
      <alignment horizontal="right" vertical="center" wrapText="1"/>
    </xf>
    <xf numFmtId="3" fontId="16" fillId="0" borderId="39" xfId="0" applyNumberFormat="1" applyFont="1" applyBorder="1" applyAlignment="1" applyProtection="1">
      <alignment horizontal="right" vertical="center" wrapText="1"/>
    </xf>
    <xf numFmtId="3" fontId="18" fillId="5" borderId="14" xfId="0" applyNumberFormat="1" applyFont="1" applyFill="1" applyBorder="1" applyAlignment="1" applyProtection="1">
      <alignment horizontal="right" vertical="center" wrapText="1"/>
    </xf>
    <xf numFmtId="3" fontId="13" fillId="0" borderId="39" xfId="0" applyNumberFormat="1" applyFont="1" applyFill="1" applyBorder="1" applyAlignment="1" applyProtection="1">
      <alignment horizontal="right" vertical="center" wrapText="1"/>
    </xf>
    <xf numFmtId="3" fontId="3" fillId="3" borderId="16" xfId="0" applyNumberFormat="1" applyFont="1" applyFill="1" applyBorder="1" applyAlignment="1" applyProtection="1">
      <alignment horizontal="right" vertical="center" wrapText="1"/>
    </xf>
    <xf numFmtId="0" fontId="12" fillId="0" borderId="39" xfId="0" applyFont="1" applyBorder="1" applyAlignment="1">
      <alignment vertical="center"/>
    </xf>
    <xf numFmtId="166" fontId="8" fillId="5" borderId="14" xfId="1" applyNumberFormat="1" applyFont="1" applyFill="1" applyBorder="1" applyAlignment="1" applyProtection="1">
      <alignment horizontal="right" vertical="center" wrapText="1"/>
    </xf>
    <xf numFmtId="0" fontId="7" fillId="0" borderId="39" xfId="0" applyFont="1" applyBorder="1" applyAlignment="1" applyProtection="1">
      <alignment horizontal="right" vertical="center" wrapText="1"/>
    </xf>
    <xf numFmtId="166" fontId="8" fillId="0" borderId="38" xfId="1" applyNumberFormat="1" applyFont="1" applyBorder="1" applyAlignment="1" applyProtection="1">
      <alignment horizontal="right" vertical="center" wrapText="1"/>
    </xf>
    <xf numFmtId="4" fontId="7" fillId="0" borderId="39" xfId="0" applyNumberFormat="1" applyFont="1" applyBorder="1" applyAlignment="1" applyProtection="1">
      <alignment horizontal="right" vertical="center" wrapText="1"/>
    </xf>
    <xf numFmtId="4" fontId="8" fillId="0" borderId="39" xfId="0" applyNumberFormat="1" applyFont="1" applyBorder="1" applyAlignment="1" applyProtection="1">
      <alignment horizontal="right" vertical="center" wrapText="1"/>
    </xf>
    <xf numFmtId="3" fontId="8" fillId="0" borderId="38" xfId="0" applyNumberFormat="1" applyFont="1" applyBorder="1" applyAlignment="1" applyProtection="1">
      <alignment horizontal="right" vertical="center" wrapText="1"/>
    </xf>
    <xf numFmtId="0" fontId="8" fillId="0" borderId="39" xfId="0" applyFont="1" applyBorder="1" applyAlignment="1" applyProtection="1">
      <alignment horizontal="right" vertical="center" wrapText="1"/>
    </xf>
    <xf numFmtId="0" fontId="8" fillId="2" borderId="39" xfId="0" applyFont="1" applyFill="1" applyBorder="1" applyAlignment="1" applyProtection="1">
      <alignment vertical="center" wrapText="1"/>
    </xf>
    <xf numFmtId="165" fontId="8" fillId="4" borderId="39" xfId="1" applyFont="1" applyFill="1" applyBorder="1" applyAlignment="1" applyProtection="1">
      <alignment horizontal="right" vertical="center" wrapText="1"/>
    </xf>
    <xf numFmtId="3" fontId="7" fillId="0" borderId="39" xfId="0" applyNumberFormat="1" applyFont="1" applyBorder="1" applyAlignment="1" applyProtection="1">
      <alignment horizontal="right" vertical="center" wrapText="1"/>
    </xf>
    <xf numFmtId="4" fontId="8" fillId="5" borderId="39" xfId="0" applyNumberFormat="1" applyFont="1" applyFill="1" applyBorder="1" applyAlignment="1" applyProtection="1">
      <alignment horizontal="right" vertical="center" wrapText="1"/>
    </xf>
    <xf numFmtId="3" fontId="6" fillId="3" borderId="19" xfId="0" applyNumberFormat="1" applyFont="1" applyFill="1" applyBorder="1" applyAlignment="1" applyProtection="1">
      <alignment horizontal="right" vertical="center" wrapText="1"/>
    </xf>
    <xf numFmtId="166" fontId="7" fillId="0" borderId="39" xfId="0" applyNumberFormat="1" applyFont="1" applyBorder="1" applyAlignment="1" applyProtection="1">
      <alignment horizontal="right" vertical="center" wrapText="1"/>
    </xf>
    <xf numFmtId="166" fontId="8" fillId="0" borderId="38" xfId="0" applyNumberFormat="1" applyFont="1" applyBorder="1" applyAlignment="1" applyProtection="1">
      <alignment horizontal="right" vertical="center" wrapText="1"/>
    </xf>
    <xf numFmtId="166" fontId="12" fillId="0" borderId="39" xfId="0" applyNumberFormat="1" applyFont="1" applyBorder="1" applyAlignment="1">
      <alignment vertical="center"/>
    </xf>
    <xf numFmtId="166" fontId="8" fillId="0" borderId="39" xfId="0" applyNumberFormat="1" applyFont="1" applyBorder="1" applyAlignment="1" applyProtection="1">
      <alignment horizontal="right" vertical="center" wrapText="1"/>
    </xf>
    <xf numFmtId="166" fontId="8" fillId="0" borderId="39" xfId="1" applyNumberFormat="1" applyFont="1" applyBorder="1" applyAlignment="1" applyProtection="1">
      <alignment horizontal="right" vertical="center" wrapText="1"/>
    </xf>
    <xf numFmtId="166" fontId="8" fillId="0" borderId="39" xfId="0" applyNumberFormat="1" applyFont="1" applyBorder="1" applyAlignment="1" applyProtection="1">
      <alignment horizontal="center" vertical="center" wrapText="1"/>
    </xf>
    <xf numFmtId="166" fontId="8" fillId="5" borderId="14" xfId="0" applyNumberFormat="1" applyFont="1" applyFill="1" applyBorder="1" applyAlignment="1" applyProtection="1">
      <alignment horizontal="right" vertical="center" wrapText="1"/>
    </xf>
    <xf numFmtId="166" fontId="12" fillId="0" borderId="39" xfId="0" applyNumberFormat="1" applyFont="1" applyBorder="1" applyAlignment="1">
      <alignment horizontal="center" vertical="center"/>
    </xf>
    <xf numFmtId="3" fontId="8" fillId="5" borderId="19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8" fillId="6" borderId="3" xfId="0" applyFont="1" applyFill="1" applyBorder="1" applyAlignment="1" applyProtection="1">
      <alignment horizontal="left" vertical="center" wrapText="1"/>
    </xf>
    <xf numFmtId="3" fontId="8" fillId="6" borderId="3" xfId="0" applyNumberFormat="1" applyFont="1" applyFill="1" applyBorder="1" applyAlignment="1" applyProtection="1">
      <alignment horizontal="right" vertical="center" wrapText="1"/>
    </xf>
    <xf numFmtId="3" fontId="8" fillId="6" borderId="19" xfId="0" applyNumberFormat="1" applyFont="1" applyFill="1" applyBorder="1" applyAlignment="1" applyProtection="1">
      <alignment horizontal="right" vertical="center" wrapText="1"/>
    </xf>
    <xf numFmtId="3" fontId="8" fillId="6" borderId="34" xfId="0" applyNumberFormat="1" applyFont="1" applyFill="1" applyBorder="1" applyAlignment="1" applyProtection="1">
      <alignment horizontal="right" vertical="center" wrapText="1"/>
    </xf>
    <xf numFmtId="3" fontId="8" fillId="6" borderId="4" xfId="0" applyNumberFormat="1" applyFont="1" applyFill="1" applyBorder="1" applyAlignment="1" applyProtection="1">
      <alignment horizontal="right" vertical="center" wrapText="1"/>
    </xf>
    <xf numFmtId="167" fontId="8" fillId="6" borderId="34" xfId="0" applyNumberFormat="1" applyFont="1" applyFill="1" applyBorder="1" applyAlignment="1" applyProtection="1">
      <alignment horizontal="right" vertical="center" wrapText="1"/>
    </xf>
    <xf numFmtId="166" fontId="17" fillId="0" borderId="0" xfId="1" applyNumberFormat="1" applyFont="1" applyFill="1" applyBorder="1"/>
    <xf numFmtId="165" fontId="13" fillId="0" borderId="8" xfId="1" applyFont="1" applyFill="1" applyBorder="1" applyAlignment="1" applyProtection="1">
      <alignment horizontal="right" vertical="center" wrapText="1"/>
    </xf>
    <xf numFmtId="165" fontId="13" fillId="0" borderId="9" xfId="1" applyFont="1" applyFill="1" applyBorder="1" applyAlignment="1" applyProtection="1">
      <alignment horizontal="right" vertical="center" wrapText="1"/>
    </xf>
    <xf numFmtId="165" fontId="4" fillId="0" borderId="9" xfId="1" applyFont="1" applyFill="1" applyBorder="1" applyAlignment="1" applyProtection="1">
      <alignment horizontal="right" vertical="center" wrapText="1"/>
    </xf>
    <xf numFmtId="165" fontId="14" fillId="0" borderId="9" xfId="1" applyFont="1" applyFill="1" applyBorder="1" applyAlignment="1" applyProtection="1">
      <alignment horizontal="right" vertical="center" wrapText="1"/>
    </xf>
    <xf numFmtId="165" fontId="14" fillId="0" borderId="15" xfId="1" applyFont="1" applyFill="1" applyBorder="1" applyAlignment="1" applyProtection="1">
      <alignment horizontal="right" vertical="center" wrapText="1"/>
    </xf>
    <xf numFmtId="165" fontId="4" fillId="0" borderId="15" xfId="1" applyFont="1" applyFill="1" applyBorder="1" applyAlignment="1" applyProtection="1">
      <alignment horizontal="right" vertical="center" wrapText="1"/>
    </xf>
    <xf numFmtId="3" fontId="3" fillId="3" borderId="21" xfId="0" applyNumberFormat="1" applyFont="1" applyFill="1" applyBorder="1" applyAlignment="1" applyProtection="1">
      <alignment horizontal="right" vertical="center" wrapText="1"/>
    </xf>
    <xf numFmtId="166" fontId="15" fillId="0" borderId="27" xfId="0" applyNumberFormat="1" applyFont="1" applyBorder="1"/>
    <xf numFmtId="3" fontId="15" fillId="5" borderId="21" xfId="0" applyNumberFormat="1" applyFont="1" applyFill="1" applyBorder="1"/>
    <xf numFmtId="3" fontId="15" fillId="0" borderId="27" xfId="0" applyNumberFormat="1" applyFont="1" applyBorder="1"/>
    <xf numFmtId="167" fontId="15" fillId="0" borderId="27" xfId="0" applyNumberFormat="1" applyFont="1" applyBorder="1"/>
    <xf numFmtId="0" fontId="21" fillId="0" borderId="39" xfId="0" applyFont="1" applyBorder="1" applyAlignment="1" applyProtection="1">
      <alignment horizontal="right" vertical="center" wrapText="1"/>
    </xf>
    <xf numFmtId="4" fontId="21" fillId="0" borderId="39" xfId="0" applyNumberFormat="1" applyFont="1" applyBorder="1" applyAlignment="1" applyProtection="1">
      <alignment horizontal="right" vertical="center" wrapText="1"/>
    </xf>
    <xf numFmtId="4" fontId="20" fillId="0" borderId="39" xfId="0" applyNumberFormat="1" applyFont="1" applyBorder="1" applyAlignment="1" applyProtection="1">
      <alignment horizontal="right" vertical="center" wrapText="1"/>
    </xf>
    <xf numFmtId="0" fontId="20" fillId="0" borderId="39" xfId="0" applyFont="1" applyBorder="1" applyAlignment="1" applyProtection="1">
      <alignment horizontal="right" vertical="center" wrapText="1"/>
    </xf>
    <xf numFmtId="165" fontId="20" fillId="4" borderId="39" xfId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 applyProtection="1">
      <alignment horizontal="right" vertical="center" wrapText="1"/>
    </xf>
    <xf numFmtId="166" fontId="21" fillId="0" borderId="39" xfId="0" applyNumberFormat="1" applyFont="1" applyBorder="1" applyAlignment="1" applyProtection="1">
      <alignment horizontal="right" vertical="center" wrapText="1"/>
    </xf>
    <xf numFmtId="166" fontId="21" fillId="0" borderId="39" xfId="0" applyNumberFormat="1" applyFont="1" applyBorder="1" applyAlignment="1">
      <alignment vertical="center"/>
    </xf>
    <xf numFmtId="166" fontId="20" fillId="0" borderId="39" xfId="0" applyNumberFormat="1" applyFont="1" applyBorder="1" applyAlignment="1" applyProtection="1">
      <alignment horizontal="center" vertical="center" wrapText="1"/>
    </xf>
    <xf numFmtId="166" fontId="21" fillId="0" borderId="39" xfId="0" applyNumberFormat="1" applyFont="1" applyBorder="1" applyAlignment="1">
      <alignment horizontal="center" vertical="center"/>
    </xf>
    <xf numFmtId="164" fontId="21" fillId="5" borderId="2" xfId="0" applyNumberFormat="1" applyFont="1" applyFill="1" applyBorder="1" applyAlignment="1">
      <alignment vertical="center"/>
    </xf>
    <xf numFmtId="164" fontId="21" fillId="0" borderId="0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7" fontId="21" fillId="0" borderId="1" xfId="0" applyNumberFormat="1" applyFont="1" applyFill="1" applyBorder="1" applyAlignment="1">
      <alignment vertical="center"/>
    </xf>
    <xf numFmtId="164" fontId="21" fillId="5" borderId="0" xfId="0" applyNumberFormat="1" applyFont="1" applyFill="1" applyBorder="1" applyAlignment="1">
      <alignment vertical="center"/>
    </xf>
    <xf numFmtId="3" fontId="20" fillId="6" borderId="4" xfId="0" applyNumberFormat="1" applyFont="1" applyFill="1" applyBorder="1" applyAlignment="1" applyProtection="1">
      <alignment horizontal="right" vertical="center" wrapText="1"/>
    </xf>
    <xf numFmtId="167" fontId="21" fillId="0" borderId="1" xfId="0" applyNumberFormat="1" applyFont="1" applyBorder="1" applyAlignment="1">
      <alignment vertical="center"/>
    </xf>
    <xf numFmtId="3" fontId="21" fillId="5" borderId="4" xfId="0" applyNumberFormat="1" applyFont="1" applyFill="1" applyBorder="1" applyAlignment="1">
      <alignment vertical="center"/>
    </xf>
    <xf numFmtId="166" fontId="10" fillId="0" borderId="29" xfId="1" applyNumberFormat="1" applyFont="1" applyBorder="1" applyAlignment="1" applyProtection="1">
      <alignment horizontal="right" vertical="center" wrapText="1"/>
    </xf>
    <xf numFmtId="166" fontId="10" fillId="5" borderId="28" xfId="1" applyNumberFormat="1" applyFont="1" applyFill="1" applyBorder="1" applyAlignment="1" applyProtection="1">
      <alignment horizontal="right" vertical="center" wrapText="1"/>
    </xf>
    <xf numFmtId="166" fontId="10" fillId="0" borderId="29" xfId="1" applyNumberFormat="1" applyFont="1" applyFill="1" applyBorder="1" applyAlignment="1" applyProtection="1">
      <alignment horizontal="right" vertical="center" wrapText="1"/>
    </xf>
    <xf numFmtId="166" fontId="10" fillId="0" borderId="26" xfId="1" applyNumberFormat="1" applyFont="1" applyFill="1" applyBorder="1" applyAlignment="1" applyProtection="1">
      <alignment horizontal="right" vertical="center" wrapText="1"/>
    </xf>
    <xf numFmtId="166" fontId="6" fillId="3" borderId="3" xfId="1" applyNumberFormat="1" applyFont="1" applyFill="1" applyBorder="1" applyAlignment="1" applyProtection="1">
      <alignment horizontal="center" vertical="center" wrapText="1"/>
    </xf>
    <xf numFmtId="166" fontId="12" fillId="0" borderId="26" xfId="1" applyNumberFormat="1" applyFont="1" applyBorder="1" applyAlignment="1">
      <alignment vertical="center"/>
    </xf>
    <xf numFmtId="166" fontId="21" fillId="0" borderId="26" xfId="1" applyNumberFormat="1" applyFont="1" applyBorder="1" applyAlignment="1" applyProtection="1">
      <alignment horizontal="right" vertical="center" wrapText="1"/>
    </xf>
    <xf numFmtId="166" fontId="12" fillId="0" borderId="26" xfId="1" applyNumberFormat="1" applyFont="1" applyBorder="1" applyAlignment="1" applyProtection="1">
      <alignment horizontal="right" vertical="center" wrapText="1"/>
    </xf>
    <xf numFmtId="166" fontId="20" fillId="0" borderId="26" xfId="1" applyNumberFormat="1" applyFont="1" applyBorder="1" applyAlignment="1" applyProtection="1">
      <alignment horizontal="right" vertical="center" wrapText="1"/>
    </xf>
    <xf numFmtId="166" fontId="10" fillId="0" borderId="26" xfId="1" applyNumberFormat="1" applyFont="1" applyBorder="1" applyAlignment="1" applyProtection="1">
      <alignment horizontal="right" vertical="center" wrapText="1"/>
    </xf>
    <xf numFmtId="166" fontId="20" fillId="2" borderId="26" xfId="1" applyNumberFormat="1" applyFont="1" applyFill="1" applyBorder="1" applyAlignment="1" applyProtection="1">
      <alignment vertical="center" wrapText="1"/>
    </xf>
    <xf numFmtId="166" fontId="10" fillId="4" borderId="26" xfId="1" applyNumberFormat="1" applyFont="1" applyFill="1" applyBorder="1" applyAlignment="1" applyProtection="1">
      <alignment horizontal="right" vertical="center" wrapText="1"/>
    </xf>
    <xf numFmtId="166" fontId="10" fillId="5" borderId="26" xfId="1" applyNumberFormat="1" applyFont="1" applyFill="1" applyBorder="1" applyAlignment="1" applyProtection="1">
      <alignment horizontal="right" vertical="center" wrapText="1"/>
    </xf>
    <xf numFmtId="166" fontId="10" fillId="6" borderId="3" xfId="1" applyNumberFormat="1" applyFont="1" applyFill="1" applyBorder="1" applyAlignment="1" applyProtection="1">
      <alignment horizontal="right" vertical="center" wrapText="1"/>
    </xf>
    <xf numFmtId="166" fontId="22" fillId="0" borderId="0" xfId="1" applyNumberFormat="1" applyFont="1" applyBorder="1" applyAlignment="1" applyProtection="1">
      <alignment horizontal="right" vertical="center" wrapText="1"/>
    </xf>
    <xf numFmtId="166" fontId="21" fillId="0" borderId="26" xfId="1" applyNumberFormat="1" applyFont="1" applyBorder="1" applyAlignment="1">
      <alignment vertical="center"/>
    </xf>
    <xf numFmtId="166" fontId="10" fillId="5" borderId="3" xfId="1" applyNumberFormat="1" applyFont="1" applyFill="1" applyBorder="1" applyAlignment="1" applyProtection="1">
      <alignment horizontal="right" vertical="center" wrapText="1"/>
    </xf>
    <xf numFmtId="166" fontId="10" fillId="5" borderId="14" xfId="1" applyNumberFormat="1" applyFont="1" applyFill="1" applyBorder="1" applyAlignment="1" applyProtection="1">
      <alignment horizontal="right" vertical="center" wrapText="1"/>
    </xf>
    <xf numFmtId="0" fontId="12" fillId="0" borderId="39" xfId="0" applyFont="1" applyBorder="1" applyAlignment="1" applyProtection="1">
      <alignment horizontal="right" vertical="center" wrapText="1"/>
    </xf>
    <xf numFmtId="166" fontId="10" fillId="0" borderId="38" xfId="1" applyNumberFormat="1" applyFont="1" applyBorder="1" applyAlignment="1" applyProtection="1">
      <alignment horizontal="right" vertical="center" wrapText="1"/>
    </xf>
    <xf numFmtId="4" fontId="12" fillId="0" borderId="39" xfId="0" applyNumberFormat="1" applyFont="1" applyBorder="1" applyAlignment="1" applyProtection="1">
      <alignment horizontal="right" vertical="center" wrapText="1"/>
    </xf>
    <xf numFmtId="4" fontId="10" fillId="0" borderId="39" xfId="0" applyNumberFormat="1" applyFont="1" applyBorder="1" applyAlignment="1" applyProtection="1">
      <alignment horizontal="right" vertical="center" wrapText="1"/>
    </xf>
    <xf numFmtId="3" fontId="10" fillId="0" borderId="38" xfId="0" applyNumberFormat="1" applyFont="1" applyBorder="1" applyAlignment="1" applyProtection="1">
      <alignment horizontal="right" vertical="center" wrapText="1"/>
    </xf>
    <xf numFmtId="0" fontId="10" fillId="2" borderId="39" xfId="0" applyFont="1" applyFill="1" applyBorder="1" applyAlignment="1" applyProtection="1">
      <alignment vertical="center" wrapText="1"/>
    </xf>
    <xf numFmtId="3" fontId="12" fillId="0" borderId="39" xfId="0" applyNumberFormat="1" applyFont="1" applyBorder="1" applyAlignment="1" applyProtection="1">
      <alignment horizontal="right" vertical="center" wrapText="1"/>
    </xf>
    <xf numFmtId="4" fontId="10" fillId="5" borderId="39" xfId="0" applyNumberFormat="1" applyFont="1" applyFill="1" applyBorder="1" applyAlignment="1" applyProtection="1">
      <alignment horizontal="right" vertical="center" wrapText="1"/>
    </xf>
    <xf numFmtId="3" fontId="10" fillId="6" borderId="19" xfId="0" applyNumberFormat="1" applyFont="1" applyFill="1" applyBorder="1" applyAlignment="1" applyProtection="1">
      <alignment horizontal="right" vertical="center" wrapText="1"/>
    </xf>
    <xf numFmtId="166" fontId="10" fillId="0" borderId="38" xfId="0" applyNumberFormat="1" applyFont="1" applyBorder="1" applyAlignment="1" applyProtection="1">
      <alignment horizontal="right" vertical="center" wrapText="1"/>
    </xf>
    <xf numFmtId="166" fontId="10" fillId="5" borderId="14" xfId="0" applyNumberFormat="1" applyFont="1" applyFill="1" applyBorder="1" applyAlignment="1" applyProtection="1">
      <alignment horizontal="right" vertical="center" wrapText="1"/>
    </xf>
    <xf numFmtId="166" fontId="12" fillId="0" borderId="39" xfId="0" applyNumberFormat="1" applyFont="1" applyBorder="1" applyAlignment="1" applyProtection="1">
      <alignment horizontal="right" vertical="center" wrapText="1"/>
    </xf>
    <xf numFmtId="3" fontId="10" fillId="5" borderId="19" xfId="0" applyNumberFormat="1" applyFont="1" applyFill="1" applyBorder="1" applyAlignment="1" applyProtection="1">
      <alignment horizontal="right" vertical="center" wrapText="1"/>
    </xf>
    <xf numFmtId="166" fontId="10" fillId="0" borderId="39" xfId="0" applyNumberFormat="1" applyFont="1" applyBorder="1" applyAlignment="1" applyProtection="1">
      <alignment horizontal="right" vertical="center" wrapText="1"/>
    </xf>
    <xf numFmtId="166" fontId="10" fillId="0" borderId="39" xfId="1" applyNumberFormat="1" applyFont="1" applyBorder="1" applyAlignment="1" applyProtection="1">
      <alignment horizontal="right" vertical="center" wrapText="1"/>
    </xf>
    <xf numFmtId="165" fontId="15" fillId="0" borderId="0" xfId="1" applyFont="1" applyBorder="1"/>
    <xf numFmtId="0" fontId="23" fillId="5" borderId="28" xfId="0" applyFont="1" applyFill="1" applyBorder="1" applyAlignment="1" applyProtection="1">
      <alignment horizontal="right" vertical="center" wrapText="1"/>
    </xf>
    <xf numFmtId="0" fontId="23" fillId="5" borderId="14" xfId="0" applyFont="1" applyFill="1" applyBorder="1" applyAlignment="1" applyProtection="1">
      <alignment horizontal="right" vertical="center" wrapText="1"/>
    </xf>
    <xf numFmtId="166" fontId="23" fillId="0" borderId="26" xfId="0" applyNumberFormat="1" applyFont="1" applyBorder="1" applyAlignment="1" applyProtection="1">
      <alignment horizontal="right" vertical="center" wrapText="1"/>
    </xf>
    <xf numFmtId="3" fontId="23" fillId="0" borderId="39" xfId="0" applyNumberFormat="1" applyFont="1" applyBorder="1" applyAlignment="1" applyProtection="1">
      <alignment horizontal="right" vertical="center" wrapText="1"/>
    </xf>
    <xf numFmtId="166" fontId="24" fillId="0" borderId="26" xfId="1" applyNumberFormat="1" applyFont="1" applyBorder="1" applyAlignment="1" applyProtection="1">
      <alignment horizontal="right" vertical="center" wrapText="1"/>
    </xf>
    <xf numFmtId="3" fontId="24" fillId="0" borderId="26" xfId="0" applyNumberFormat="1" applyFont="1" applyBorder="1" applyAlignment="1" applyProtection="1">
      <alignment horizontal="right" vertical="center" wrapText="1"/>
    </xf>
    <xf numFmtId="166" fontId="24" fillId="0" borderId="26" xfId="0" applyNumberFormat="1" applyFont="1" applyBorder="1" applyAlignment="1" applyProtection="1">
      <alignment horizontal="right" vertical="center" wrapText="1"/>
    </xf>
    <xf numFmtId="166" fontId="24" fillId="0" borderId="26" xfId="1" applyNumberFormat="1" applyFont="1" applyFill="1" applyBorder="1" applyAlignment="1" applyProtection="1">
      <alignment horizontal="right" vertical="center" wrapText="1"/>
    </xf>
    <xf numFmtId="3" fontId="25" fillId="5" borderId="28" xfId="1" applyNumberFormat="1" applyFont="1" applyFill="1" applyBorder="1" applyAlignment="1" applyProtection="1">
      <alignment horizontal="right" vertical="center" wrapText="1"/>
    </xf>
    <xf numFmtId="3" fontId="25" fillId="5" borderId="28" xfId="0" applyNumberFormat="1" applyFont="1" applyFill="1" applyBorder="1" applyAlignment="1" applyProtection="1">
      <alignment horizontal="right" vertical="center" wrapText="1"/>
    </xf>
    <xf numFmtId="3" fontId="15" fillId="0" borderId="26" xfId="0" applyNumberFormat="1" applyFont="1" applyBorder="1" applyAlignment="1" applyProtection="1">
      <alignment horizontal="right" vertical="center" wrapText="1"/>
    </xf>
    <xf numFmtId="3" fontId="14" fillId="0" borderId="26" xfId="0" applyNumberFormat="1" applyFont="1" applyFill="1" applyBorder="1" applyAlignment="1" applyProtection="1">
      <alignment horizontal="right" vertical="center" wrapText="1"/>
    </xf>
    <xf numFmtId="0" fontId="16" fillId="5" borderId="31" xfId="0" applyFont="1" applyFill="1" applyBorder="1" applyAlignment="1" applyProtection="1">
      <alignment horizontal="right" vertical="center" wrapText="1"/>
    </xf>
    <xf numFmtId="4" fontId="15" fillId="0" borderId="43" xfId="0" applyNumberFormat="1" applyFont="1" applyBorder="1" applyAlignment="1" applyProtection="1">
      <alignment horizontal="right" vertical="center" wrapText="1"/>
    </xf>
    <xf numFmtId="4" fontId="16" fillId="0" borderId="43" xfId="0" applyNumberFormat="1" applyFont="1" applyBorder="1" applyAlignment="1" applyProtection="1">
      <alignment horizontal="right" vertical="center" wrapText="1"/>
    </xf>
    <xf numFmtId="0" fontId="15" fillId="5" borderId="7" xfId="0" applyFont="1" applyFill="1" applyBorder="1" applyAlignment="1" applyProtection="1">
      <alignment horizontal="right" vertical="center" wrapText="1"/>
    </xf>
    <xf numFmtId="166" fontId="24" fillId="0" borderId="39" xfId="1" applyNumberFormat="1" applyFont="1" applyBorder="1" applyAlignment="1" applyProtection="1">
      <alignment horizontal="right" vertical="center" wrapText="1"/>
    </xf>
    <xf numFmtId="4" fontId="15" fillId="0" borderId="39" xfId="0" applyNumberFormat="1" applyFont="1" applyBorder="1" applyAlignment="1" applyProtection="1">
      <alignment horizontal="right" vertical="center" wrapText="1"/>
    </xf>
    <xf numFmtId="165" fontId="24" fillId="0" borderId="39" xfId="1" applyFont="1" applyBorder="1" applyAlignment="1" applyProtection="1">
      <alignment horizontal="right" vertical="center" wrapText="1"/>
    </xf>
    <xf numFmtId="3" fontId="24" fillId="0" borderId="39" xfId="0" applyNumberFormat="1" applyFont="1" applyBorder="1" applyAlignment="1" applyProtection="1">
      <alignment horizontal="right" vertical="center" wrapText="1"/>
    </xf>
    <xf numFmtId="166" fontId="15" fillId="0" borderId="39" xfId="0" applyNumberFormat="1" applyFont="1" applyBorder="1" applyAlignment="1" applyProtection="1">
      <alignment horizontal="right" vertical="center" wrapText="1"/>
    </xf>
    <xf numFmtId="166" fontId="24" fillId="0" borderId="39" xfId="0" applyNumberFormat="1" applyFont="1" applyBorder="1" applyAlignment="1" applyProtection="1">
      <alignment horizontal="right" vertical="center" wrapText="1"/>
    </xf>
    <xf numFmtId="3" fontId="25" fillId="5" borderId="14" xfId="1" applyNumberFormat="1" applyFont="1" applyFill="1" applyBorder="1" applyAlignment="1" applyProtection="1">
      <alignment horizontal="right" vertical="center" wrapText="1"/>
    </xf>
    <xf numFmtId="3" fontId="15" fillId="0" borderId="39" xfId="0" applyNumberFormat="1" applyFont="1" applyBorder="1" applyAlignment="1" applyProtection="1">
      <alignment horizontal="right" vertical="center" wrapText="1"/>
    </xf>
    <xf numFmtId="3" fontId="25" fillId="5" borderId="14" xfId="0" applyNumberFormat="1" applyFont="1" applyFill="1" applyBorder="1" applyAlignment="1" applyProtection="1">
      <alignment horizontal="right" vertical="center" wrapText="1"/>
    </xf>
    <xf numFmtId="3" fontId="14" fillId="0" borderId="39" xfId="0" applyNumberFormat="1" applyFont="1" applyFill="1" applyBorder="1" applyAlignment="1" applyProtection="1">
      <alignment horizontal="right" vertical="center" wrapText="1"/>
    </xf>
    <xf numFmtId="166" fontId="6" fillId="3" borderId="3" xfId="1" applyNumberFormat="1" applyFont="1" applyFill="1" applyBorder="1" applyAlignment="1" applyProtection="1">
      <alignment horizontal="right" vertical="center" wrapText="1"/>
    </xf>
    <xf numFmtId="166" fontId="10" fillId="5" borderId="2" xfId="1" applyNumberFormat="1" applyFont="1" applyFill="1" applyBorder="1" applyAlignment="1" applyProtection="1">
      <alignment horizontal="right" vertical="center" wrapText="1"/>
    </xf>
    <xf numFmtId="165" fontId="4" fillId="0" borderId="8" xfId="1" applyFont="1" applyFill="1" applyBorder="1" applyAlignment="1" applyProtection="1">
      <alignment horizontal="right" vertical="center" wrapText="1"/>
    </xf>
    <xf numFmtId="165" fontId="14" fillId="0" borderId="8" xfId="1" applyFont="1" applyFill="1" applyBorder="1" applyAlignment="1" applyProtection="1">
      <alignment horizontal="right" vertical="center" wrapText="1"/>
    </xf>
    <xf numFmtId="165" fontId="14" fillId="0" borderId="20" xfId="1" applyFont="1" applyBorder="1" applyAlignment="1" applyProtection="1">
      <alignment horizontal="right" vertical="center" wrapText="1"/>
    </xf>
    <xf numFmtId="165" fontId="14" fillId="0" borderId="21" xfId="1" applyFont="1" applyBorder="1" applyAlignment="1" applyProtection="1">
      <alignment horizontal="right" vertical="center" wrapText="1"/>
    </xf>
    <xf numFmtId="165" fontId="14" fillId="0" borderId="22" xfId="1" applyFont="1" applyBorder="1" applyAlignment="1" applyProtection="1">
      <alignment horizontal="right" vertical="center" wrapText="1"/>
    </xf>
    <xf numFmtId="4" fontId="19" fillId="0" borderId="43" xfId="0" applyNumberFormat="1" applyFont="1" applyFill="1" applyBorder="1" applyAlignment="1" applyProtection="1">
      <alignment horizontal="right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166" fontId="6" fillId="3" borderId="44" xfId="1" applyNumberFormat="1" applyFont="1" applyFill="1" applyBorder="1" applyAlignment="1" applyProtection="1">
      <alignment horizontal="center" vertical="center" wrapText="1"/>
    </xf>
    <xf numFmtId="166" fontId="6" fillId="3" borderId="45" xfId="1" applyNumberFormat="1" applyFont="1" applyFill="1" applyBorder="1" applyAlignment="1" applyProtection="1">
      <alignment horizontal="center" vertical="center" wrapText="1"/>
    </xf>
    <xf numFmtId="166" fontId="13" fillId="0" borderId="20" xfId="1" applyNumberFormat="1" applyFont="1" applyBorder="1" applyAlignment="1" applyProtection="1">
      <alignment horizontal="right" vertical="center" wrapText="1"/>
    </xf>
    <xf numFmtId="166" fontId="13" fillId="0" borderId="21" xfId="1" applyNumberFormat="1" applyFont="1" applyBorder="1" applyAlignment="1" applyProtection="1">
      <alignment horizontal="right" vertical="center" wrapText="1"/>
    </xf>
    <xf numFmtId="0" fontId="28" fillId="0" borderId="0" xfId="0" applyFont="1" applyFill="1" applyBorder="1" applyAlignment="1">
      <alignment vertical="center"/>
    </xf>
    <xf numFmtId="0" fontId="29" fillId="3" borderId="3" xfId="0" applyFont="1" applyFill="1" applyBorder="1" applyAlignment="1" applyProtection="1">
      <alignment horizontal="center" vertical="center" wrapText="1"/>
    </xf>
    <xf numFmtId="166" fontId="29" fillId="3" borderId="3" xfId="1" applyNumberFormat="1" applyFont="1" applyFill="1" applyBorder="1" applyAlignment="1" applyProtection="1">
      <alignment horizontal="center" vertical="center" wrapText="1"/>
    </xf>
    <xf numFmtId="0" fontId="29" fillId="3" borderId="19" xfId="0" applyFont="1" applyFill="1" applyBorder="1" applyAlignment="1" applyProtection="1">
      <alignment horizontal="center" vertical="center" wrapText="1"/>
    </xf>
    <xf numFmtId="166" fontId="29" fillId="3" borderId="34" xfId="1" applyNumberFormat="1" applyFont="1" applyFill="1" applyBorder="1" applyAlignment="1" applyProtection="1">
      <alignment horizontal="center" vertical="center" wrapText="1"/>
    </xf>
    <xf numFmtId="166" fontId="29" fillId="3" borderId="4" xfId="1" applyNumberFormat="1" applyFont="1" applyFill="1" applyBorder="1" applyAlignment="1" applyProtection="1">
      <alignment horizontal="center" vertical="center" wrapText="1"/>
    </xf>
    <xf numFmtId="0" fontId="29" fillId="3" borderId="34" xfId="0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166" fontId="28" fillId="0" borderId="26" xfId="1" applyNumberFormat="1" applyFont="1" applyBorder="1" applyAlignment="1">
      <alignment vertical="center"/>
    </xf>
    <xf numFmtId="0" fontId="28" fillId="0" borderId="39" xfId="0" applyFont="1" applyBorder="1" applyAlignment="1">
      <alignment vertical="center"/>
    </xf>
    <xf numFmtId="166" fontId="26" fillId="0" borderId="36" xfId="1" applyNumberFormat="1" applyFont="1" applyBorder="1" applyAlignment="1">
      <alignment vertical="center"/>
    </xf>
    <xf numFmtId="164" fontId="28" fillId="0" borderId="0" xfId="0" applyNumberFormat="1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30" fillId="5" borderId="28" xfId="0" applyFont="1" applyFill="1" applyBorder="1" applyAlignment="1" applyProtection="1">
      <alignment horizontal="left" vertical="center" wrapText="1"/>
    </xf>
    <xf numFmtId="166" fontId="26" fillId="5" borderId="28" xfId="1" applyNumberFormat="1" applyFont="1" applyFill="1" applyBorder="1" applyAlignment="1" applyProtection="1">
      <alignment horizontal="right" vertical="center" wrapText="1"/>
    </xf>
    <xf numFmtId="166" fontId="26" fillId="5" borderId="14" xfId="1" applyNumberFormat="1" applyFont="1" applyFill="1" applyBorder="1" applyAlignment="1" applyProtection="1">
      <alignment horizontal="right" vertical="center" wrapText="1"/>
    </xf>
    <xf numFmtId="166" fontId="26" fillId="5" borderId="11" xfId="1" applyNumberFormat="1" applyFont="1" applyFill="1" applyBorder="1" applyAlignment="1">
      <alignment vertical="center"/>
    </xf>
    <xf numFmtId="164" fontId="31" fillId="5" borderId="2" xfId="0" applyNumberFormat="1" applyFont="1" applyFill="1" applyBorder="1" applyAlignment="1">
      <alignment vertical="center"/>
    </xf>
    <xf numFmtId="167" fontId="26" fillId="5" borderId="11" xfId="0" applyNumberFormat="1" applyFont="1" applyFill="1" applyBorder="1" applyAlignment="1">
      <alignment vertical="center"/>
    </xf>
    <xf numFmtId="0" fontId="32" fillId="0" borderId="26" xfId="0" applyFont="1" applyBorder="1" applyAlignment="1" applyProtection="1">
      <alignment horizontal="left" vertical="center" wrapText="1"/>
    </xf>
    <xf numFmtId="166" fontId="31" fillId="0" borderId="26" xfId="1" applyNumberFormat="1" applyFont="1" applyBorder="1" applyAlignment="1" applyProtection="1">
      <alignment horizontal="right" vertical="center" wrapText="1"/>
    </xf>
    <xf numFmtId="0" fontId="28" fillId="0" borderId="39" xfId="0" applyFont="1" applyBorder="1" applyAlignment="1" applyProtection="1">
      <alignment horizontal="right" vertical="center" wrapText="1"/>
    </xf>
    <xf numFmtId="164" fontId="31" fillId="0" borderId="0" xfId="0" applyNumberFormat="1" applyFont="1" applyBorder="1" applyAlignment="1">
      <alignment vertical="center"/>
    </xf>
    <xf numFmtId="167" fontId="26" fillId="0" borderId="36" xfId="0" applyNumberFormat="1" applyFont="1" applyBorder="1" applyAlignment="1">
      <alignment vertical="center"/>
    </xf>
    <xf numFmtId="0" fontId="30" fillId="0" borderId="29" xfId="0" applyFont="1" applyBorder="1" applyAlignment="1" applyProtection="1">
      <alignment horizontal="left" vertical="center" wrapText="1"/>
    </xf>
    <xf numFmtId="166" fontId="26" fillId="0" borderId="29" xfId="1" applyNumberFormat="1" applyFont="1" applyBorder="1" applyAlignment="1" applyProtection="1">
      <alignment horizontal="right" vertical="center" wrapText="1"/>
    </xf>
    <xf numFmtId="166" fontId="26" fillId="0" borderId="38" xfId="1" applyNumberFormat="1" applyFont="1" applyBorder="1" applyAlignment="1" applyProtection="1">
      <alignment horizontal="right" vertical="center" wrapText="1"/>
    </xf>
    <xf numFmtId="166" fontId="26" fillId="0" borderId="37" xfId="1" applyNumberFormat="1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167" fontId="26" fillId="0" borderId="37" xfId="0" applyNumberFormat="1" applyFont="1" applyBorder="1" applyAlignment="1">
      <alignment vertical="center"/>
    </xf>
    <xf numFmtId="166" fontId="28" fillId="0" borderId="26" xfId="1" applyNumberFormat="1" applyFont="1" applyBorder="1" applyAlignment="1" applyProtection="1">
      <alignment horizontal="right" vertical="center" wrapText="1"/>
    </xf>
    <xf numFmtId="4" fontId="28" fillId="0" borderId="39" xfId="0" applyNumberFormat="1" applyFont="1" applyBorder="1" applyAlignment="1" applyProtection="1">
      <alignment horizontal="right" vertical="center" wrapText="1"/>
    </xf>
    <xf numFmtId="4" fontId="32" fillId="0" borderId="46" xfId="0" applyNumberFormat="1" applyFont="1" applyBorder="1" applyAlignment="1" applyProtection="1">
      <alignment horizontal="right" vertical="center" wrapText="1"/>
    </xf>
    <xf numFmtId="0" fontId="30" fillId="2" borderId="26" xfId="0" applyFont="1" applyFill="1" applyBorder="1" applyAlignment="1" applyProtection="1">
      <alignment horizontal="left" vertical="center" wrapText="1"/>
    </xf>
    <xf numFmtId="166" fontId="33" fillId="0" borderId="26" xfId="1" applyNumberFormat="1" applyFont="1" applyBorder="1" applyAlignment="1" applyProtection="1">
      <alignment horizontal="right" vertical="center" wrapText="1"/>
    </xf>
    <xf numFmtId="4" fontId="26" fillId="0" borderId="39" xfId="0" applyNumberFormat="1" applyFont="1" applyBorder="1" applyAlignment="1" applyProtection="1">
      <alignment horizontal="right" vertical="center" wrapText="1"/>
    </xf>
    <xf numFmtId="3" fontId="26" fillId="0" borderId="38" xfId="0" applyNumberFormat="1" applyFont="1" applyBorder="1" applyAlignment="1" applyProtection="1">
      <alignment horizontal="right" vertical="center" wrapText="1"/>
    </xf>
    <xf numFmtId="4" fontId="31" fillId="0" borderId="39" xfId="0" applyNumberFormat="1" applyFont="1" applyBorder="1" applyAlignment="1" applyProtection="1">
      <alignment horizontal="right" vertical="center" wrapText="1"/>
    </xf>
    <xf numFmtId="4" fontId="33" fillId="0" borderId="39" xfId="0" applyNumberFormat="1" applyFont="1" applyBorder="1" applyAlignment="1" applyProtection="1">
      <alignment horizontal="right" vertical="center" wrapText="1"/>
    </xf>
    <xf numFmtId="4" fontId="30" fillId="0" borderId="26" xfId="0" applyNumberFormat="1" applyFont="1" applyBorder="1" applyAlignment="1" applyProtection="1">
      <alignment horizontal="right" vertical="center" wrapText="1"/>
    </xf>
    <xf numFmtId="0" fontId="33" fillId="0" borderId="39" xfId="0" applyFont="1" applyBorder="1" applyAlignment="1" applyProtection="1">
      <alignment horizontal="right" vertical="center" wrapText="1"/>
    </xf>
    <xf numFmtId="164" fontId="26" fillId="0" borderId="36" xfId="0" applyNumberFormat="1" applyFont="1" applyBorder="1" applyAlignment="1">
      <alignment vertical="center"/>
    </xf>
    <xf numFmtId="0" fontId="31" fillId="0" borderId="39" xfId="0" applyFont="1" applyBorder="1" applyAlignment="1" applyProtection="1">
      <alignment horizontal="right" vertical="center" wrapText="1"/>
    </xf>
    <xf numFmtId="166" fontId="26" fillId="0" borderId="26" xfId="1" applyNumberFormat="1" applyFont="1" applyBorder="1" applyAlignment="1" applyProtection="1">
      <alignment horizontal="right" vertical="center" wrapText="1"/>
    </xf>
    <xf numFmtId="3" fontId="26" fillId="0" borderId="47" xfId="0" applyNumberFormat="1" applyFont="1" applyBorder="1" applyAlignment="1" applyProtection="1">
      <alignment horizontal="right" vertical="center" wrapText="1"/>
    </xf>
    <xf numFmtId="3" fontId="26" fillId="0" borderId="30" xfId="0" applyNumberFormat="1" applyFont="1" applyBorder="1" applyAlignment="1" applyProtection="1">
      <alignment horizontal="right" vertical="center" wrapText="1"/>
    </xf>
    <xf numFmtId="0" fontId="30" fillId="0" borderId="26" xfId="0" applyFont="1" applyBorder="1" applyAlignment="1" applyProtection="1">
      <alignment horizontal="left" vertical="center" wrapText="1"/>
    </xf>
    <xf numFmtId="0" fontId="34" fillId="0" borderId="0" xfId="0" applyFont="1" applyBorder="1" applyAlignment="1">
      <alignment vertical="center"/>
    </xf>
    <xf numFmtId="0" fontId="30" fillId="2" borderId="26" xfId="0" applyFont="1" applyFill="1" applyBorder="1" applyAlignment="1" applyProtection="1">
      <alignment vertical="center" wrapText="1"/>
    </xf>
    <xf numFmtId="166" fontId="33" fillId="2" borderId="26" xfId="1" applyNumberFormat="1" applyFont="1" applyFill="1" applyBorder="1" applyAlignment="1" applyProtection="1">
      <alignment vertical="center" wrapText="1"/>
    </xf>
    <xf numFmtId="0" fontId="26" fillId="2" borderId="39" xfId="0" applyFont="1" applyFill="1" applyBorder="1" applyAlignment="1" applyProtection="1">
      <alignment vertical="center" wrapText="1"/>
    </xf>
    <xf numFmtId="0" fontId="30" fillId="4" borderId="26" xfId="0" applyFont="1" applyFill="1" applyBorder="1" applyAlignment="1" applyProtection="1">
      <alignment horizontal="left" vertical="center" wrapText="1"/>
    </xf>
    <xf numFmtId="166" fontId="26" fillId="4" borderId="26" xfId="1" applyNumberFormat="1" applyFont="1" applyFill="1" applyBorder="1" applyAlignment="1" applyProtection="1">
      <alignment horizontal="right" vertical="center" wrapText="1"/>
    </xf>
    <xf numFmtId="165" fontId="33" fillId="4" borderId="39" xfId="1" applyFont="1" applyFill="1" applyBorder="1" applyAlignment="1" applyProtection="1">
      <alignment horizontal="right" vertical="center" wrapText="1"/>
    </xf>
    <xf numFmtId="3" fontId="28" fillId="0" borderId="39" xfId="0" applyNumberFormat="1" applyFont="1" applyBorder="1" applyAlignment="1" applyProtection="1">
      <alignment horizontal="right" vertical="center" wrapText="1"/>
    </xf>
    <xf numFmtId="4" fontId="26" fillId="5" borderId="14" xfId="0" applyNumberFormat="1" applyFont="1" applyFill="1" applyBorder="1" applyAlignment="1" applyProtection="1">
      <alignment horizontal="right" vertical="center" wrapText="1"/>
    </xf>
    <xf numFmtId="167" fontId="26" fillId="5" borderId="36" xfId="0" applyNumberFormat="1" applyFont="1" applyFill="1" applyBorder="1" applyAlignment="1">
      <alignment vertical="center"/>
    </xf>
    <xf numFmtId="0" fontId="30" fillId="0" borderId="26" xfId="0" applyFont="1" applyFill="1" applyBorder="1" applyAlignment="1" applyProtection="1">
      <alignment horizontal="left" vertical="center" wrapText="1"/>
    </xf>
    <xf numFmtId="166" fontId="29" fillId="3" borderId="3" xfId="1" applyNumberFormat="1" applyFont="1" applyFill="1" applyBorder="1" applyAlignment="1" applyProtection="1">
      <alignment horizontal="right" vertical="center" wrapText="1"/>
    </xf>
    <xf numFmtId="3" fontId="29" fillId="3" borderId="19" xfId="0" applyNumberFormat="1" applyFont="1" applyFill="1" applyBorder="1" applyAlignment="1" applyProtection="1">
      <alignment horizontal="right" vertical="center" wrapText="1"/>
    </xf>
    <xf numFmtId="166" fontId="29" fillId="3" borderId="34" xfId="1" applyNumberFormat="1" applyFont="1" applyFill="1" applyBorder="1" applyAlignment="1" applyProtection="1">
      <alignment horizontal="right" vertical="center" wrapText="1"/>
    </xf>
    <xf numFmtId="3" fontId="29" fillId="3" borderId="4" xfId="0" applyNumberFormat="1" applyFont="1" applyFill="1" applyBorder="1" applyAlignment="1" applyProtection="1">
      <alignment horizontal="right" vertical="center" wrapText="1"/>
    </xf>
    <xf numFmtId="167" fontId="29" fillId="3" borderId="34" xfId="0" applyNumberFormat="1" applyFont="1" applyFill="1" applyBorder="1" applyAlignment="1" applyProtection="1">
      <alignment horizontal="right" vertical="center" wrapText="1"/>
    </xf>
    <xf numFmtId="0" fontId="30" fillId="6" borderId="3" xfId="0" applyFont="1" applyFill="1" applyBorder="1" applyAlignment="1" applyProtection="1">
      <alignment horizontal="left" vertical="center" wrapText="1"/>
    </xf>
    <xf numFmtId="166" fontId="26" fillId="6" borderId="3" xfId="1" applyNumberFormat="1" applyFont="1" applyFill="1" applyBorder="1" applyAlignment="1" applyProtection="1">
      <alignment horizontal="right" vertical="center" wrapText="1"/>
    </xf>
    <xf numFmtId="3" fontId="26" fillId="6" borderId="19" xfId="0" applyNumberFormat="1" applyFont="1" applyFill="1" applyBorder="1" applyAlignment="1" applyProtection="1">
      <alignment horizontal="right" vertical="center" wrapText="1"/>
    </xf>
    <xf numFmtId="166" fontId="30" fillId="6" borderId="34" xfId="1" applyNumberFormat="1" applyFont="1" applyFill="1" applyBorder="1" applyAlignment="1" applyProtection="1">
      <alignment horizontal="right" vertical="center" wrapText="1"/>
    </xf>
    <xf numFmtId="3" fontId="33" fillId="6" borderId="4" xfId="0" applyNumberFormat="1" applyFont="1" applyFill="1" applyBorder="1" applyAlignment="1" applyProtection="1">
      <alignment horizontal="right" vertical="center" wrapText="1"/>
    </xf>
    <xf numFmtId="167" fontId="30" fillId="6" borderId="34" xfId="0" applyNumberFormat="1" applyFont="1" applyFill="1" applyBorder="1" applyAlignment="1" applyProtection="1">
      <alignment horizontal="right" vertical="center" wrapText="1"/>
    </xf>
    <xf numFmtId="167" fontId="28" fillId="0" borderId="0" xfId="0" applyNumberFormat="1" applyFont="1" applyBorder="1" applyAlignment="1">
      <alignment vertical="center"/>
    </xf>
    <xf numFmtId="0" fontId="32" fillId="0" borderId="0" xfId="0" applyFont="1" applyBorder="1" applyAlignment="1" applyProtection="1">
      <alignment horizontal="left" vertical="center" wrapText="1"/>
    </xf>
    <xf numFmtId="166" fontId="31" fillId="0" borderId="0" xfId="1" applyNumberFormat="1" applyFont="1" applyBorder="1" applyAlignment="1" applyProtection="1">
      <alignment horizontal="right" vertical="center" wrapText="1"/>
    </xf>
    <xf numFmtId="0" fontId="31" fillId="0" borderId="0" xfId="0" applyFont="1" applyBorder="1" applyAlignment="1" applyProtection="1">
      <alignment horizontal="right" vertical="center" wrapText="1"/>
    </xf>
    <xf numFmtId="166" fontId="26" fillId="0" borderId="0" xfId="1" applyNumberFormat="1" applyFont="1" applyBorder="1" applyAlignment="1">
      <alignment vertical="center"/>
    </xf>
    <xf numFmtId="167" fontId="26" fillId="0" borderId="0" xfId="0" applyNumberFormat="1" applyFont="1" applyBorder="1" applyAlignment="1">
      <alignment vertical="center"/>
    </xf>
    <xf numFmtId="164" fontId="26" fillId="0" borderId="0" xfId="0" applyNumberFormat="1" applyFont="1" applyBorder="1" applyAlignment="1">
      <alignment vertical="center"/>
    </xf>
    <xf numFmtId="43" fontId="28" fillId="0" borderId="0" xfId="0" applyNumberFormat="1" applyFont="1" applyBorder="1" applyAlignment="1">
      <alignment vertical="center"/>
    </xf>
    <xf numFmtId="166" fontId="26" fillId="5" borderId="2" xfId="1" applyNumberFormat="1" applyFont="1" applyFill="1" applyBorder="1" applyAlignment="1" applyProtection="1">
      <alignment horizontal="right" vertical="center" wrapText="1"/>
    </xf>
    <xf numFmtId="166" fontId="31" fillId="0" borderId="39" xfId="0" applyNumberFormat="1" applyFont="1" applyBorder="1" applyAlignment="1" applyProtection="1">
      <alignment horizontal="right" vertical="center" wrapText="1"/>
    </xf>
    <xf numFmtId="166" fontId="26" fillId="0" borderId="38" xfId="0" applyNumberFormat="1" applyFont="1" applyBorder="1" applyAlignment="1" applyProtection="1">
      <alignment horizontal="right" vertical="center" wrapText="1"/>
    </xf>
    <xf numFmtId="166" fontId="28" fillId="0" borderId="39" xfId="0" applyNumberFormat="1" applyFont="1" applyBorder="1" applyAlignment="1" applyProtection="1">
      <alignment horizontal="right" vertical="center" wrapText="1"/>
    </xf>
    <xf numFmtId="166" fontId="26" fillId="0" borderId="29" xfId="1" applyNumberFormat="1" applyFont="1" applyFill="1" applyBorder="1" applyAlignment="1" applyProtection="1">
      <alignment horizontal="right" vertical="center" wrapText="1"/>
    </xf>
    <xf numFmtId="166" fontId="28" fillId="0" borderId="39" xfId="0" applyNumberFormat="1" applyFont="1" applyBorder="1" applyAlignment="1">
      <alignment vertical="center"/>
    </xf>
    <xf numFmtId="166" fontId="26" fillId="0" borderId="39" xfId="0" applyNumberFormat="1" applyFont="1" applyBorder="1" applyAlignment="1" applyProtection="1">
      <alignment horizontal="right" vertical="center" wrapText="1"/>
    </xf>
    <xf numFmtId="166" fontId="26" fillId="0" borderId="26" xfId="1" applyNumberFormat="1" applyFont="1" applyFill="1" applyBorder="1" applyAlignment="1" applyProtection="1">
      <alignment horizontal="right" vertical="center" wrapText="1"/>
    </xf>
    <xf numFmtId="166" fontId="26" fillId="0" borderId="39" xfId="1" applyNumberFormat="1" applyFont="1" applyBorder="1" applyAlignment="1" applyProtection="1">
      <alignment horizontal="right" vertical="center" wrapText="1"/>
    </xf>
    <xf numFmtId="166" fontId="31" fillId="0" borderId="39" xfId="0" applyNumberFormat="1" applyFont="1" applyBorder="1" applyAlignment="1">
      <alignment vertical="center"/>
    </xf>
    <xf numFmtId="166" fontId="33" fillId="0" borderId="39" xfId="0" applyNumberFormat="1" applyFont="1" applyBorder="1" applyAlignment="1" applyProtection="1">
      <alignment horizontal="center" vertical="center" wrapText="1"/>
    </xf>
    <xf numFmtId="166" fontId="26" fillId="5" borderId="14" xfId="0" applyNumberFormat="1" applyFont="1" applyFill="1" applyBorder="1" applyAlignment="1" applyProtection="1">
      <alignment horizontal="right" vertical="center" wrapText="1"/>
    </xf>
    <xf numFmtId="166" fontId="31" fillId="0" borderId="26" xfId="1" applyNumberFormat="1" applyFont="1" applyBorder="1" applyAlignment="1">
      <alignment vertical="center"/>
    </xf>
    <xf numFmtId="166" fontId="28" fillId="0" borderId="39" xfId="0" applyNumberFormat="1" applyFont="1" applyBorder="1" applyAlignment="1">
      <alignment horizontal="center" vertical="center"/>
    </xf>
    <xf numFmtId="166" fontId="31" fillId="0" borderId="39" xfId="0" applyNumberFormat="1" applyFont="1" applyBorder="1" applyAlignment="1">
      <alignment horizontal="center" vertical="center"/>
    </xf>
    <xf numFmtId="3" fontId="29" fillId="3" borderId="3" xfId="0" applyNumberFormat="1" applyFont="1" applyFill="1" applyBorder="1" applyAlignment="1" applyProtection="1">
      <alignment horizontal="right" vertical="center" wrapText="1"/>
    </xf>
    <xf numFmtId="0" fontId="30" fillId="5" borderId="3" xfId="0" applyFont="1" applyFill="1" applyBorder="1" applyAlignment="1" applyProtection="1">
      <alignment horizontal="left" vertical="center" wrapText="1"/>
    </xf>
    <xf numFmtId="166" fontId="26" fillId="5" borderId="3" xfId="1" applyNumberFormat="1" applyFont="1" applyFill="1" applyBorder="1" applyAlignment="1" applyProtection="1">
      <alignment horizontal="right" vertical="center" wrapText="1"/>
    </xf>
    <xf numFmtId="3" fontId="26" fillId="5" borderId="19" xfId="0" applyNumberFormat="1" applyFont="1" applyFill="1" applyBorder="1" applyAlignment="1" applyProtection="1">
      <alignment horizontal="right" vertical="center" wrapText="1"/>
    </xf>
    <xf numFmtId="166" fontId="26" fillId="5" borderId="34" xfId="1" applyNumberFormat="1" applyFont="1" applyFill="1" applyBorder="1" applyAlignment="1">
      <alignment vertical="center"/>
    </xf>
    <xf numFmtId="3" fontId="31" fillId="5" borderId="4" xfId="0" applyNumberFormat="1" applyFont="1" applyFill="1" applyBorder="1" applyAlignment="1">
      <alignment vertical="center"/>
    </xf>
    <xf numFmtId="3" fontId="26" fillId="5" borderId="34" xfId="0" applyNumberFormat="1" applyFont="1" applyFill="1" applyBorder="1" applyAlignment="1">
      <alignment vertical="center"/>
    </xf>
    <xf numFmtId="166" fontId="28" fillId="0" borderId="0" xfId="1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167" fontId="26" fillId="0" borderId="1" xfId="0" applyNumberFormat="1" applyFont="1" applyFill="1" applyBorder="1" applyAlignment="1">
      <alignment vertical="center"/>
    </xf>
    <xf numFmtId="167" fontId="33" fillId="0" borderId="1" xfId="0" applyNumberFormat="1" applyFont="1" applyFill="1" applyBorder="1" applyAlignment="1">
      <alignment vertical="center"/>
    </xf>
    <xf numFmtId="164" fontId="33" fillId="0" borderId="0" xfId="0" applyNumberFormat="1" applyFont="1" applyBorder="1" applyAlignment="1">
      <alignment vertical="center"/>
    </xf>
    <xf numFmtId="164" fontId="33" fillId="5" borderId="2" xfId="0" applyNumberFormat="1" applyFont="1" applyFill="1" applyBorder="1" applyAlignment="1">
      <alignment vertical="center"/>
    </xf>
    <xf numFmtId="164" fontId="33" fillId="0" borderId="1" xfId="0" applyNumberFormat="1" applyFont="1" applyBorder="1" applyAlignment="1">
      <alignment vertical="center"/>
    </xf>
    <xf numFmtId="167" fontId="33" fillId="0" borderId="1" xfId="0" applyNumberFormat="1" applyFont="1" applyBorder="1" applyAlignment="1">
      <alignment vertical="center"/>
    </xf>
    <xf numFmtId="167" fontId="26" fillId="0" borderId="2" xfId="0" applyNumberFormat="1" applyFont="1" applyFill="1" applyBorder="1" applyAlignment="1">
      <alignment vertical="center"/>
    </xf>
    <xf numFmtId="0" fontId="29" fillId="3" borderId="13" xfId="0" applyFont="1" applyFill="1" applyBorder="1" applyAlignment="1" applyProtection="1">
      <alignment horizontal="center" vertical="center" wrapText="1"/>
    </xf>
    <xf numFmtId="0" fontId="28" fillId="0" borderId="0" xfId="0" applyFont="1" applyBorder="1"/>
    <xf numFmtId="0" fontId="30" fillId="5" borderId="29" xfId="0" applyFont="1" applyFill="1" applyBorder="1" applyAlignment="1" applyProtection="1">
      <alignment horizontal="left" vertical="center" wrapText="1"/>
    </xf>
    <xf numFmtId="0" fontId="32" fillId="5" borderId="31" xfId="0" applyFont="1" applyFill="1" applyBorder="1" applyAlignment="1" applyProtection="1">
      <alignment horizontal="right" vertical="center" wrapText="1"/>
    </xf>
    <xf numFmtId="0" fontId="28" fillId="5" borderId="7" xfId="0" applyFont="1" applyFill="1" applyBorder="1" applyAlignment="1" applyProtection="1">
      <alignment horizontal="right" vertical="center" wrapText="1"/>
    </xf>
    <xf numFmtId="166" fontId="28" fillId="5" borderId="37" xfId="1" applyNumberFormat="1" applyFont="1" applyFill="1" applyBorder="1"/>
    <xf numFmtId="166" fontId="28" fillId="5" borderId="1" xfId="1" applyNumberFormat="1" applyFont="1" applyFill="1" applyBorder="1"/>
    <xf numFmtId="0" fontId="28" fillId="5" borderId="37" xfId="0" applyFont="1" applyFill="1" applyBorder="1"/>
    <xf numFmtId="0" fontId="28" fillId="5" borderId="30" xfId="0" applyFont="1" applyFill="1" applyBorder="1"/>
    <xf numFmtId="3" fontId="26" fillId="0" borderId="39" xfId="0" applyNumberFormat="1" applyFont="1" applyBorder="1" applyAlignment="1" applyProtection="1">
      <alignment horizontal="right" vertical="center" wrapText="1"/>
    </xf>
    <xf numFmtId="166" fontId="26" fillId="0" borderId="36" xfId="1" applyNumberFormat="1" applyFont="1" applyBorder="1"/>
    <xf numFmtId="166" fontId="26" fillId="0" borderId="0" xfId="1" applyNumberFormat="1" applyFont="1" applyBorder="1"/>
    <xf numFmtId="167" fontId="26" fillId="0" borderId="36" xfId="0" applyNumberFormat="1" applyFont="1" applyBorder="1"/>
    <xf numFmtId="167" fontId="26" fillId="0" borderId="27" xfId="0" applyNumberFormat="1" applyFont="1" applyBorder="1"/>
    <xf numFmtId="0" fontId="26" fillId="0" borderId="0" xfId="0" applyFont="1" applyBorder="1"/>
    <xf numFmtId="4" fontId="30" fillId="0" borderId="43" xfId="0" applyNumberFormat="1" applyFont="1" applyBorder="1" applyAlignment="1" applyProtection="1">
      <alignment horizontal="right" vertical="center" wrapText="1"/>
    </xf>
    <xf numFmtId="3" fontId="26" fillId="0" borderId="26" xfId="0" applyNumberFormat="1" applyFont="1" applyBorder="1" applyAlignment="1" applyProtection="1">
      <alignment horizontal="right" vertical="center" wrapText="1"/>
    </xf>
    <xf numFmtId="3" fontId="30" fillId="0" borderId="43" xfId="0" applyNumberFormat="1" applyFont="1" applyFill="1" applyBorder="1" applyAlignment="1" applyProtection="1">
      <alignment horizontal="right" vertical="center" wrapText="1"/>
    </xf>
    <xf numFmtId="166" fontId="26" fillId="0" borderId="0" xfId="1" applyNumberFormat="1" applyFont="1" applyFill="1" applyBorder="1"/>
    <xf numFmtId="166" fontId="26" fillId="0" borderId="0" xfId="0" applyNumberFormat="1" applyFont="1" applyBorder="1"/>
    <xf numFmtId="3" fontId="26" fillId="0" borderId="26" xfId="0" applyNumberFormat="1" applyFont="1" applyFill="1" applyBorder="1" applyAlignment="1" applyProtection="1">
      <alignment horizontal="right" vertical="center" wrapText="1"/>
    </xf>
    <xf numFmtId="0" fontId="29" fillId="3" borderId="28" xfId="0" applyFont="1" applyFill="1" applyBorder="1" applyAlignment="1" applyProtection="1">
      <alignment horizontal="left" vertical="center" wrapText="1"/>
    </xf>
    <xf numFmtId="3" fontId="29" fillId="3" borderId="28" xfId="0" applyNumberFormat="1" applyFont="1" applyFill="1" applyBorder="1" applyAlignment="1" applyProtection="1">
      <alignment horizontal="right" vertical="center" wrapText="1"/>
    </xf>
    <xf numFmtId="3" fontId="29" fillId="3" borderId="14" xfId="0" applyNumberFormat="1" applyFont="1" applyFill="1" applyBorder="1" applyAlignment="1" applyProtection="1">
      <alignment horizontal="right" vertical="center" wrapText="1"/>
    </xf>
    <xf numFmtId="166" fontId="29" fillId="3" borderId="11" xfId="1" applyNumberFormat="1" applyFont="1" applyFill="1" applyBorder="1" applyAlignment="1" applyProtection="1">
      <alignment horizontal="right" vertical="center" wrapText="1"/>
    </xf>
    <xf numFmtId="166" fontId="29" fillId="3" borderId="2" xfId="1" applyNumberFormat="1" applyFont="1" applyFill="1" applyBorder="1" applyAlignment="1" applyProtection="1">
      <alignment horizontal="right" vertical="center" wrapText="1"/>
    </xf>
    <xf numFmtId="3" fontId="29" fillId="3" borderId="11" xfId="0" applyNumberFormat="1" applyFont="1" applyFill="1" applyBorder="1" applyAlignment="1" applyProtection="1">
      <alignment horizontal="right" vertical="center" wrapText="1"/>
    </xf>
    <xf numFmtId="3" fontId="29" fillId="3" borderId="21" xfId="0" applyNumberFormat="1" applyFont="1" applyFill="1" applyBorder="1" applyAlignment="1" applyProtection="1">
      <alignment horizontal="right" vertical="center" wrapText="1"/>
    </xf>
    <xf numFmtId="0" fontId="31" fillId="5" borderId="28" xfId="0" applyFont="1" applyFill="1" applyBorder="1" applyAlignment="1" applyProtection="1">
      <alignment horizontal="right" vertical="center" wrapText="1"/>
    </xf>
    <xf numFmtId="0" fontId="31" fillId="5" borderId="14" xfId="0" applyFont="1" applyFill="1" applyBorder="1" applyAlignment="1" applyProtection="1">
      <alignment horizontal="right" vertical="center" wrapText="1"/>
    </xf>
    <xf numFmtId="166" fontId="28" fillId="5" borderId="11" xfId="1" applyNumberFormat="1" applyFont="1" applyFill="1" applyBorder="1"/>
    <xf numFmtId="166" fontId="28" fillId="5" borderId="2" xfId="1" applyNumberFormat="1" applyFont="1" applyFill="1" applyBorder="1"/>
    <xf numFmtId="164" fontId="28" fillId="5" borderId="11" xfId="0" applyNumberFormat="1" applyFont="1" applyFill="1" applyBorder="1"/>
    <xf numFmtId="164" fontId="28" fillId="5" borderId="21" xfId="0" applyNumberFormat="1" applyFont="1" applyFill="1" applyBorder="1"/>
    <xf numFmtId="166" fontId="26" fillId="0" borderId="36" xfId="0" applyNumberFormat="1" applyFont="1" applyBorder="1"/>
    <xf numFmtId="166" fontId="26" fillId="0" borderId="27" xfId="0" applyNumberFormat="1" applyFont="1" applyBorder="1"/>
    <xf numFmtId="166" fontId="28" fillId="0" borderId="0" xfId="0" applyNumberFormat="1" applyFont="1" applyBorder="1"/>
    <xf numFmtId="165" fontId="29" fillId="3" borderId="28" xfId="1" applyFont="1" applyFill="1" applyBorder="1" applyAlignment="1" applyProtection="1">
      <alignment horizontal="left" vertical="center" wrapText="1"/>
    </xf>
    <xf numFmtId="3" fontId="26" fillId="5" borderId="28" xfId="1" applyNumberFormat="1" applyFont="1" applyFill="1" applyBorder="1" applyAlignment="1" applyProtection="1">
      <alignment horizontal="right" vertical="center" wrapText="1"/>
    </xf>
    <xf numFmtId="3" fontId="26" fillId="5" borderId="14" xfId="1" applyNumberFormat="1" applyFont="1" applyFill="1" applyBorder="1" applyAlignment="1" applyProtection="1">
      <alignment horizontal="right" vertical="center" wrapText="1"/>
    </xf>
    <xf numFmtId="166" fontId="26" fillId="5" borderId="11" xfId="1" applyNumberFormat="1" applyFont="1" applyFill="1" applyBorder="1"/>
    <xf numFmtId="166" fontId="26" fillId="5" borderId="2" xfId="1" applyNumberFormat="1" applyFont="1" applyFill="1" applyBorder="1"/>
    <xf numFmtId="3" fontId="26" fillId="5" borderId="11" xfId="0" applyNumberFormat="1" applyFont="1" applyFill="1" applyBorder="1"/>
    <xf numFmtId="3" fontId="26" fillId="5" borderId="21" xfId="0" applyNumberFormat="1" applyFont="1" applyFill="1" applyBorder="1"/>
    <xf numFmtId="3" fontId="30" fillId="0" borderId="43" xfId="0" applyNumberFormat="1" applyFont="1" applyBorder="1" applyAlignment="1" applyProtection="1">
      <alignment horizontal="right" vertical="center" wrapText="1"/>
    </xf>
    <xf numFmtId="3" fontId="26" fillId="0" borderId="36" xfId="0" applyNumberFormat="1" applyFont="1" applyBorder="1"/>
    <xf numFmtId="3" fontId="26" fillId="0" borderId="27" xfId="0" applyNumberFormat="1" applyFont="1" applyBorder="1"/>
    <xf numFmtId="3" fontId="26" fillId="5" borderId="28" xfId="0" applyNumberFormat="1" applyFont="1" applyFill="1" applyBorder="1" applyAlignment="1" applyProtection="1">
      <alignment horizontal="right" vertical="center" wrapText="1"/>
    </xf>
    <xf numFmtId="3" fontId="26" fillId="5" borderId="14" xfId="0" applyNumberFormat="1" applyFont="1" applyFill="1" applyBorder="1" applyAlignment="1" applyProtection="1">
      <alignment horizontal="right" vertical="center" wrapText="1"/>
    </xf>
    <xf numFmtId="3" fontId="33" fillId="0" borderId="39" xfId="0" applyNumberFormat="1" applyFont="1" applyBorder="1" applyAlignment="1" applyProtection="1">
      <alignment horizontal="right" vertical="center" wrapText="1"/>
    </xf>
    <xf numFmtId="0" fontId="32" fillId="0" borderId="26" xfId="0" applyFont="1" applyFill="1" applyBorder="1" applyAlignment="1" applyProtection="1">
      <alignment horizontal="left" vertical="center" wrapText="1"/>
    </xf>
    <xf numFmtId="3" fontId="28" fillId="0" borderId="26" xfId="0" applyNumberFormat="1" applyFont="1" applyFill="1" applyBorder="1" applyAlignment="1" applyProtection="1">
      <alignment horizontal="right" vertical="center" wrapText="1"/>
    </xf>
    <xf numFmtId="3" fontId="28" fillId="0" borderId="39" xfId="0" applyNumberFormat="1" applyFont="1" applyFill="1" applyBorder="1" applyAlignment="1" applyProtection="1">
      <alignment horizontal="right" vertical="center" wrapText="1"/>
    </xf>
    <xf numFmtId="166" fontId="28" fillId="0" borderId="36" xfId="1" applyNumberFormat="1" applyFont="1" applyBorder="1"/>
    <xf numFmtId="166" fontId="28" fillId="0" borderId="0" xfId="1" applyNumberFormat="1" applyFont="1" applyFill="1" applyBorder="1"/>
    <xf numFmtId="3" fontId="28" fillId="0" borderId="36" xfId="0" applyNumberFormat="1" applyFont="1" applyBorder="1"/>
    <xf numFmtId="3" fontId="28" fillId="0" borderId="27" xfId="0" applyNumberFormat="1" applyFont="1" applyBorder="1"/>
    <xf numFmtId="0" fontId="28" fillId="0" borderId="0" xfId="0" applyFont="1" applyFill="1" applyBorder="1"/>
    <xf numFmtId="0" fontId="29" fillId="3" borderId="32" xfId="0" applyFont="1" applyFill="1" applyBorder="1" applyAlignment="1" applyProtection="1">
      <alignment horizontal="left" vertical="center" wrapText="1"/>
    </xf>
    <xf numFmtId="3" fontId="29" fillId="3" borderId="32" xfId="0" applyNumberFormat="1" applyFont="1" applyFill="1" applyBorder="1" applyAlignment="1" applyProtection="1">
      <alignment horizontal="right" vertical="center" wrapText="1"/>
    </xf>
    <xf numFmtId="3" fontId="29" fillId="3" borderId="16" xfId="0" applyNumberFormat="1" applyFont="1" applyFill="1" applyBorder="1" applyAlignment="1" applyProtection="1">
      <alignment horizontal="right" vertical="center" wrapText="1"/>
    </xf>
    <xf numFmtId="166" fontId="29" fillId="3" borderId="12" xfId="1" applyNumberFormat="1" applyFont="1" applyFill="1" applyBorder="1" applyAlignment="1" applyProtection="1">
      <alignment horizontal="right" vertical="center" wrapText="1"/>
    </xf>
    <xf numFmtId="3" fontId="29" fillId="3" borderId="33" xfId="0" applyNumberFormat="1" applyFont="1" applyFill="1" applyBorder="1" applyAlignment="1" applyProtection="1">
      <alignment horizontal="right" vertical="center" wrapText="1"/>
    </xf>
    <xf numFmtId="3" fontId="29" fillId="3" borderId="12" xfId="0" applyNumberFormat="1" applyFont="1" applyFill="1" applyBorder="1" applyAlignment="1" applyProtection="1">
      <alignment horizontal="right" vertical="center" wrapText="1"/>
    </xf>
    <xf numFmtId="3" fontId="29" fillId="3" borderId="22" xfId="0" applyNumberFormat="1" applyFont="1" applyFill="1" applyBorder="1" applyAlignment="1" applyProtection="1">
      <alignment horizontal="right" vertical="center" wrapText="1"/>
    </xf>
    <xf numFmtId="166" fontId="28" fillId="0" borderId="0" xfId="1" applyNumberFormat="1" applyFont="1" applyBorder="1"/>
    <xf numFmtId="165" fontId="28" fillId="0" borderId="0" xfId="1" applyFont="1" applyBorder="1"/>
    <xf numFmtId="166" fontId="13" fillId="0" borderId="8" xfId="1" applyNumberFormat="1" applyFont="1" applyFill="1" applyBorder="1" applyAlignment="1" applyProtection="1">
      <alignment horizontal="right" vertical="center" wrapText="1"/>
    </xf>
    <xf numFmtId="166" fontId="13" fillId="0" borderId="20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166" fontId="13" fillId="0" borderId="9" xfId="1" applyNumberFormat="1" applyFont="1" applyFill="1" applyBorder="1" applyAlignment="1" applyProtection="1">
      <alignment horizontal="right" vertical="center" wrapText="1"/>
    </xf>
    <xf numFmtId="166" fontId="13" fillId="0" borderId="14" xfId="1" applyNumberFormat="1" applyFont="1" applyFill="1" applyBorder="1" applyAlignment="1" applyProtection="1">
      <alignment horizontal="right" vertical="center" wrapText="1"/>
    </xf>
    <xf numFmtId="166" fontId="13" fillId="0" borderId="21" xfId="1" applyNumberFormat="1" applyFont="1" applyFill="1" applyBorder="1" applyAlignment="1" applyProtection="1">
      <alignment horizontal="right" vertical="center" wrapText="1"/>
    </xf>
    <xf numFmtId="166" fontId="13" fillId="0" borderId="15" xfId="1" applyNumberFormat="1" applyFont="1" applyFill="1" applyBorder="1" applyAlignment="1" applyProtection="1">
      <alignment horizontal="right" vertical="center" wrapText="1"/>
    </xf>
    <xf numFmtId="166" fontId="13" fillId="0" borderId="16" xfId="1" applyNumberFormat="1" applyFont="1" applyFill="1" applyBorder="1" applyAlignment="1" applyProtection="1">
      <alignment horizontal="right" vertical="center" wrapText="1"/>
    </xf>
    <xf numFmtId="166" fontId="0" fillId="0" borderId="0" xfId="0" applyNumberFormat="1" applyFill="1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0" fillId="7" borderId="0" xfId="1" applyFont="1" applyFill="1"/>
    <xf numFmtId="0" fontId="1" fillId="0" borderId="0" xfId="0" applyFont="1" applyFill="1" applyBorder="1"/>
    <xf numFmtId="0" fontId="13" fillId="0" borderId="12" xfId="0" applyFont="1" applyFill="1" applyBorder="1" applyAlignment="1" applyProtection="1">
      <alignment horizontal="left" vertical="center" wrapText="1"/>
    </xf>
    <xf numFmtId="165" fontId="14" fillId="0" borderId="22" xfId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3" fillId="0" borderId="10" xfId="0" applyFont="1" applyFill="1" applyBorder="1" applyAlignment="1" applyProtection="1">
      <alignment horizontal="left" vertical="center" wrapText="1"/>
    </xf>
    <xf numFmtId="165" fontId="14" fillId="0" borderId="20" xfId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Fill="1" applyAlignment="1">
      <alignment vertical="center"/>
    </xf>
    <xf numFmtId="165" fontId="0" fillId="9" borderId="0" xfId="1" applyFont="1" applyFill="1" applyAlignment="1">
      <alignment vertical="center"/>
    </xf>
    <xf numFmtId="165" fontId="1" fillId="7" borderId="0" xfId="1" applyFont="1" applyFill="1"/>
    <xf numFmtId="165" fontId="35" fillId="8" borderId="0" xfId="1" applyFont="1" applyFill="1"/>
    <xf numFmtId="165" fontId="0" fillId="0" borderId="0" xfId="1" applyFont="1" applyFill="1"/>
    <xf numFmtId="0" fontId="13" fillId="0" borderId="11" xfId="0" applyFont="1" applyFill="1" applyBorder="1" applyAlignment="1" applyProtection="1">
      <alignment horizontal="left" vertical="center" wrapText="1"/>
    </xf>
    <xf numFmtId="165" fontId="14" fillId="0" borderId="21" xfId="1" applyFont="1" applyFill="1" applyBorder="1" applyAlignment="1" applyProtection="1">
      <alignment horizontal="right" vertical="center" wrapText="1"/>
    </xf>
    <xf numFmtId="165" fontId="0" fillId="10" borderId="0" xfId="1" applyFont="1" applyFill="1" applyAlignment="1">
      <alignment vertical="center"/>
    </xf>
    <xf numFmtId="0" fontId="1" fillId="10" borderId="0" xfId="0" applyFont="1" applyFill="1" applyAlignment="1">
      <alignment vertical="center" wrapText="1"/>
    </xf>
    <xf numFmtId="166" fontId="26" fillId="5" borderId="2" xfId="1" applyNumberFormat="1" applyFont="1" applyFill="1" applyBorder="1" applyAlignment="1" applyProtection="1">
      <alignment horizontal="right" vertical="center" wrapText="1" indent="2"/>
    </xf>
    <xf numFmtId="167" fontId="26" fillId="5" borderId="2" xfId="0" applyNumberFormat="1" applyFont="1" applyFill="1" applyBorder="1" applyAlignment="1">
      <alignment vertical="center"/>
    </xf>
    <xf numFmtId="167" fontId="26" fillId="0" borderId="27" xfId="0" applyNumberFormat="1" applyFont="1" applyBorder="1" applyAlignment="1">
      <alignment vertical="center"/>
    </xf>
    <xf numFmtId="167" fontId="26" fillId="5" borderId="37" xfId="0" applyNumberFormat="1" applyFont="1" applyFill="1" applyBorder="1" applyAlignment="1">
      <alignment vertical="center"/>
    </xf>
    <xf numFmtId="166" fontId="33" fillId="0" borderId="26" xfId="1" applyNumberFormat="1" applyFont="1" applyBorder="1" applyAlignment="1" applyProtection="1">
      <alignment horizontal="center" vertical="center" wrapText="1"/>
    </xf>
    <xf numFmtId="167" fontId="26" fillId="0" borderId="30" xfId="0" applyNumberFormat="1" applyFont="1" applyBorder="1" applyAlignment="1">
      <alignment vertical="center"/>
    </xf>
    <xf numFmtId="166" fontId="26" fillId="0" borderId="48" xfId="1" applyNumberFormat="1" applyFont="1" applyBorder="1" applyAlignment="1" applyProtection="1">
      <alignment horizontal="right" vertical="center" wrapText="1"/>
    </xf>
    <xf numFmtId="167" fontId="26" fillId="0" borderId="48" xfId="0" applyNumberFormat="1" applyFont="1" applyBorder="1" applyAlignment="1">
      <alignment vertical="center"/>
    </xf>
    <xf numFmtId="167" fontId="26" fillId="0" borderId="39" xfId="0" applyNumberFormat="1" applyFont="1" applyBorder="1" applyAlignment="1">
      <alignment vertical="center"/>
    </xf>
    <xf numFmtId="166" fontId="12" fillId="0" borderId="47" xfId="1" applyNumberFormat="1" applyFont="1" applyBorder="1"/>
    <xf numFmtId="166" fontId="12" fillId="0" borderId="49" xfId="1" applyNumberFormat="1" applyFont="1" applyBorder="1"/>
    <xf numFmtId="166" fontId="0" fillId="0" borderId="49" xfId="1" applyNumberFormat="1" applyFont="1" applyBorder="1"/>
    <xf numFmtId="0" fontId="7" fillId="0" borderId="48" xfId="0" applyFont="1" applyBorder="1" applyAlignment="1" applyProtection="1">
      <alignment horizontal="left" vertical="center" wrapText="1"/>
    </xf>
    <xf numFmtId="166" fontId="12" fillId="0" borderId="38" xfId="1" applyNumberFormat="1" applyFont="1" applyBorder="1"/>
    <xf numFmtId="0" fontId="12" fillId="0" borderId="51" xfId="0" applyFont="1" applyBorder="1"/>
    <xf numFmtId="166" fontId="12" fillId="0" borderId="14" xfId="1" applyNumberFormat="1" applyFont="1" applyBorder="1"/>
    <xf numFmtId="0" fontId="10" fillId="11" borderId="52" xfId="0" applyFont="1" applyFill="1" applyBorder="1"/>
    <xf numFmtId="166" fontId="10" fillId="11" borderId="53" xfId="0" applyNumberFormat="1" applyFont="1" applyFill="1" applyBorder="1"/>
    <xf numFmtId="166" fontId="10" fillId="11" borderId="16" xfId="0" applyNumberFormat="1" applyFont="1" applyFill="1" applyBorder="1"/>
    <xf numFmtId="166" fontId="0" fillId="0" borderId="14" xfId="1" applyNumberFormat="1" applyFont="1" applyBorder="1"/>
    <xf numFmtId="0" fontId="8" fillId="11" borderId="52" xfId="0" applyFont="1" applyFill="1" applyBorder="1" applyAlignment="1" applyProtection="1">
      <alignment horizontal="left" vertical="center" wrapText="1"/>
    </xf>
    <xf numFmtId="166" fontId="36" fillId="11" borderId="53" xfId="0" applyNumberFormat="1" applyFont="1" applyFill="1" applyBorder="1"/>
    <xf numFmtId="166" fontId="36" fillId="11" borderId="16" xfId="0" applyNumberFormat="1" applyFont="1" applyFill="1" applyBorder="1"/>
    <xf numFmtId="166" fontId="27" fillId="0" borderId="47" xfId="1" applyNumberFormat="1" applyFont="1" applyBorder="1"/>
    <xf numFmtId="166" fontId="27" fillId="0" borderId="49" xfId="1" applyNumberFormat="1" applyFont="1" applyBorder="1"/>
    <xf numFmtId="0" fontId="32" fillId="0" borderId="48" xfId="0" applyFont="1" applyBorder="1" applyAlignment="1" applyProtection="1">
      <alignment horizontal="left" vertical="center" wrapText="1"/>
    </xf>
    <xf numFmtId="166" fontId="27" fillId="0" borderId="38" xfId="1" applyNumberFormat="1" applyFont="1" applyBorder="1"/>
    <xf numFmtId="0" fontId="32" fillId="0" borderId="51" xfId="0" applyFont="1" applyBorder="1" applyAlignment="1" applyProtection="1">
      <alignment horizontal="left" vertical="center" wrapText="1"/>
    </xf>
    <xf numFmtId="166" fontId="27" fillId="0" borderId="14" xfId="1" applyNumberFormat="1" applyFont="1" applyBorder="1"/>
    <xf numFmtId="0" fontId="32" fillId="0" borderId="52" xfId="0" applyFont="1" applyBorder="1" applyAlignment="1" applyProtection="1">
      <alignment horizontal="left" vertical="center" wrapText="1"/>
    </xf>
    <xf numFmtId="166" fontId="27" fillId="0" borderId="53" xfId="1" applyNumberFormat="1" applyFont="1" applyBorder="1"/>
    <xf numFmtId="166" fontId="27" fillId="0" borderId="16" xfId="1" applyNumberFormat="1" applyFont="1" applyBorder="1"/>
    <xf numFmtId="3" fontId="26" fillId="0" borderId="39" xfId="0" applyNumberFormat="1" applyFont="1" applyFill="1" applyBorder="1" applyAlignment="1" applyProtection="1">
      <alignment horizontal="right" vertical="center" wrapText="1"/>
    </xf>
    <xf numFmtId="166" fontId="26" fillId="0" borderId="39" xfId="1" applyNumberFormat="1" applyFont="1" applyFill="1" applyBorder="1" applyAlignment="1" applyProtection="1">
      <alignment horizontal="right" vertical="center" wrapText="1"/>
    </xf>
    <xf numFmtId="166" fontId="26" fillId="0" borderId="39" xfId="0" applyNumberFormat="1" applyFont="1" applyFill="1" applyBorder="1" applyAlignment="1" applyProtection="1">
      <alignment horizontal="right" vertical="center" wrapText="1"/>
    </xf>
    <xf numFmtId="166" fontId="8" fillId="0" borderId="0" xfId="0" applyNumberFormat="1" applyFont="1" applyBorder="1" applyAlignment="1" applyProtection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6" fillId="3" borderId="0" xfId="1" applyNumberFormat="1" applyFont="1" applyFill="1" applyBorder="1" applyAlignment="1" applyProtection="1">
      <alignment horizontal="center" vertical="center" wrapText="1"/>
    </xf>
    <xf numFmtId="166" fontId="0" fillId="0" borderId="0" xfId="1" applyNumberFormat="1" applyFont="1" applyBorder="1" applyAlignment="1">
      <alignment horizontal="center" vertical="center" wrapText="1"/>
    </xf>
    <xf numFmtId="166" fontId="8" fillId="0" borderId="26" xfId="0" applyNumberFormat="1" applyFont="1" applyBorder="1" applyAlignment="1" applyProtection="1">
      <alignment horizontal="center" vertical="center" wrapText="1"/>
    </xf>
    <xf numFmtId="166" fontId="12" fillId="0" borderId="26" xfId="0" applyNumberFormat="1" applyFont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6" fontId="20" fillId="0" borderId="26" xfId="1" applyNumberFormat="1" applyFont="1" applyBorder="1" applyAlignment="1" applyProtection="1">
      <alignment horizontal="center" vertical="center" wrapText="1"/>
    </xf>
    <xf numFmtId="166" fontId="21" fillId="0" borderId="26" xfId="1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26" fillId="0" borderId="41" xfId="0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/>
    </xf>
    <xf numFmtId="166" fontId="33" fillId="0" borderId="26" xfId="1" applyNumberFormat="1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166" fontId="31" fillId="0" borderId="26" xfId="1" applyNumberFormat="1" applyFont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9" fillId="3" borderId="50" xfId="0" applyFont="1" applyFill="1" applyBorder="1" applyAlignment="1" applyProtection="1">
      <alignment horizontal="center" vertical="center" wrapText="1"/>
    </xf>
    <xf numFmtId="0" fontId="29" fillId="3" borderId="24" xfId="0" applyFont="1" applyFill="1" applyBorder="1" applyAlignment="1" applyProtection="1">
      <alignment horizontal="center" vertical="center" wrapText="1"/>
    </xf>
    <xf numFmtId="0" fontId="29" fillId="3" borderId="25" xfId="0" applyFont="1" applyFill="1" applyBorder="1" applyAlignment="1" applyProtection="1">
      <alignment horizontal="center" vertical="center" wrapText="1"/>
    </xf>
  </cellXfs>
  <cellStyles count="3">
    <cellStyle name="Migliaia" xfId="1" builtinId="3"/>
    <cellStyle name="Migliaia 2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6"/>
  <sheetViews>
    <sheetView showGridLines="0" zoomScale="72" zoomScaleNormal="72" zoomScaleSheetLayoutView="72" workbookViewId="0">
      <selection activeCell="G4" sqref="G4"/>
    </sheetView>
  </sheetViews>
  <sheetFormatPr defaultColWidth="9.1796875" defaultRowHeight="15.5" x14ac:dyDescent="0.25"/>
  <cols>
    <col min="1" max="1" width="68" style="8" customWidth="1"/>
    <col min="2" max="2" width="16.7265625" style="8" customWidth="1"/>
    <col min="3" max="3" width="18.26953125" style="8" customWidth="1"/>
    <col min="4" max="4" width="26.54296875" style="9" customWidth="1"/>
    <col min="5" max="6" width="19.1796875" style="10" customWidth="1"/>
    <col min="7" max="7" width="19.453125" style="9" customWidth="1"/>
    <col min="8" max="8" width="16" style="8" bestFit="1" customWidth="1"/>
    <col min="9" max="9" width="15.81640625" style="8" bestFit="1" customWidth="1"/>
    <col min="10" max="10" width="13.26953125" style="8" customWidth="1"/>
    <col min="11" max="11" width="16" style="8" bestFit="1" customWidth="1"/>
    <col min="12" max="16384" width="9.1796875" style="8"/>
  </cols>
  <sheetData>
    <row r="1" spans="1:11" s="17" customFormat="1" ht="16" thickBot="1" x14ac:dyDescent="0.3">
      <c r="A1" s="591" t="s">
        <v>140</v>
      </c>
      <c r="B1" s="592"/>
      <c r="C1" s="592"/>
      <c r="D1" s="592"/>
      <c r="E1" s="592"/>
      <c r="F1" s="592"/>
      <c r="G1" s="592"/>
    </row>
    <row r="2" spans="1:11" ht="31" x14ac:dyDescent="0.25">
      <c r="A2" s="66" t="s">
        <v>58</v>
      </c>
      <c r="B2" s="67" t="s">
        <v>71</v>
      </c>
      <c r="C2" s="67" t="s">
        <v>72</v>
      </c>
      <c r="D2" s="67" t="s">
        <v>73</v>
      </c>
      <c r="E2" s="68" t="s">
        <v>157</v>
      </c>
      <c r="F2" s="68" t="s">
        <v>158</v>
      </c>
      <c r="G2" s="69" t="s">
        <v>154</v>
      </c>
    </row>
    <row r="3" spans="1:11" x14ac:dyDescent="0.25">
      <c r="A3" s="70"/>
      <c r="B3" s="15"/>
      <c r="C3" s="15"/>
      <c r="E3" s="16"/>
      <c r="F3" s="16"/>
      <c r="G3" s="71"/>
    </row>
    <row r="4" spans="1:11" x14ac:dyDescent="0.25">
      <c r="A4" s="72" t="s">
        <v>0</v>
      </c>
      <c r="B4" s="26">
        <f>B6+B14+B24</f>
        <v>307979202.63</v>
      </c>
      <c r="C4" s="26">
        <f>C6+C14+C24</f>
        <v>219776</v>
      </c>
      <c r="D4" s="27">
        <f>+B4+C4</f>
        <v>308198978.63</v>
      </c>
      <c r="E4" s="28"/>
      <c r="F4" s="28"/>
      <c r="G4" s="73">
        <f>G6+G14+G24</f>
        <v>308138978.63</v>
      </c>
    </row>
    <row r="5" spans="1:11" x14ac:dyDescent="0.25">
      <c r="A5" s="74"/>
      <c r="B5" s="5"/>
      <c r="C5" s="5"/>
      <c r="D5" s="11"/>
      <c r="E5" s="16"/>
      <c r="F5" s="16"/>
      <c r="G5" s="75">
        <f t="shared" ref="G5:G67" si="0">+D5+E5-F5</f>
        <v>0</v>
      </c>
    </row>
    <row r="6" spans="1:11" x14ac:dyDescent="0.25">
      <c r="A6" s="76" t="s">
        <v>1</v>
      </c>
      <c r="B6" s="20">
        <f>B8+B9+B10+B11+B12</f>
        <v>1284376.48</v>
      </c>
      <c r="C6" s="20">
        <v>8487</v>
      </c>
      <c r="D6" s="21">
        <f t="shared" ref="D6:D59" si="1">+B6+C6</f>
        <v>1292863.48</v>
      </c>
      <c r="E6" s="22"/>
      <c r="F6" s="22"/>
      <c r="G6" s="77">
        <f t="shared" si="0"/>
        <v>1292863.48</v>
      </c>
    </row>
    <row r="7" spans="1:11" x14ac:dyDescent="0.25">
      <c r="A7" s="74"/>
      <c r="B7" s="5"/>
      <c r="C7" s="5"/>
      <c r="D7" s="11"/>
      <c r="E7" s="16"/>
      <c r="F7" s="16"/>
      <c r="G7" s="75">
        <f t="shared" si="0"/>
        <v>0</v>
      </c>
    </row>
    <row r="8" spans="1:11" ht="15.75" hidden="1" customHeight="1" x14ac:dyDescent="0.25">
      <c r="A8" s="74" t="s">
        <v>2</v>
      </c>
      <c r="B8" s="3">
        <v>0</v>
      </c>
      <c r="C8" s="3">
        <v>0</v>
      </c>
      <c r="D8" s="11">
        <f t="shared" si="1"/>
        <v>0</v>
      </c>
      <c r="E8" s="16"/>
      <c r="F8" s="16"/>
      <c r="G8" s="75">
        <f t="shared" si="0"/>
        <v>0</v>
      </c>
    </row>
    <row r="9" spans="1:11" ht="15.75" hidden="1" customHeight="1" x14ac:dyDescent="0.25">
      <c r="A9" s="74" t="s">
        <v>3</v>
      </c>
      <c r="B9" s="3">
        <v>596076.77</v>
      </c>
      <c r="C9" s="3">
        <v>0</v>
      </c>
      <c r="D9" s="11">
        <f t="shared" si="1"/>
        <v>596076.77</v>
      </c>
      <c r="E9" s="16"/>
      <c r="F9" s="16"/>
      <c r="G9" s="75">
        <f t="shared" si="0"/>
        <v>596076.77</v>
      </c>
    </row>
    <row r="10" spans="1:11" ht="15.75" hidden="1" customHeight="1" x14ac:dyDescent="0.25">
      <c r="A10" s="74" t="s">
        <v>4</v>
      </c>
      <c r="B10" s="3">
        <v>125599.31</v>
      </c>
      <c r="C10" s="3">
        <v>0</v>
      </c>
      <c r="D10" s="11">
        <f t="shared" si="1"/>
        <v>125599.31</v>
      </c>
      <c r="E10" s="16"/>
      <c r="F10" s="16"/>
      <c r="G10" s="75">
        <f t="shared" si="0"/>
        <v>125599.31</v>
      </c>
      <c r="K10" s="12"/>
    </row>
    <row r="11" spans="1:11" ht="15.75" hidden="1" customHeight="1" x14ac:dyDescent="0.25">
      <c r="A11" s="74" t="s">
        <v>5</v>
      </c>
      <c r="B11" s="3">
        <v>0</v>
      </c>
      <c r="C11" s="3">
        <v>0</v>
      </c>
      <c r="D11" s="11">
        <f t="shared" si="1"/>
        <v>0</v>
      </c>
      <c r="E11" s="16"/>
      <c r="F11" s="16"/>
      <c r="G11" s="75">
        <f t="shared" si="0"/>
        <v>0</v>
      </c>
      <c r="H11" s="12"/>
    </row>
    <row r="12" spans="1:11" ht="15.75" hidden="1" customHeight="1" x14ac:dyDescent="0.25">
      <c r="A12" s="74" t="s">
        <v>6</v>
      </c>
      <c r="B12" s="3">
        <v>562700.4</v>
      </c>
      <c r="C12" s="3">
        <v>0</v>
      </c>
      <c r="D12" s="11">
        <f t="shared" si="1"/>
        <v>562700.4</v>
      </c>
      <c r="E12" s="16"/>
      <c r="F12" s="16"/>
      <c r="G12" s="75">
        <f t="shared" si="0"/>
        <v>562700.4</v>
      </c>
    </row>
    <row r="13" spans="1:11" ht="15.75" hidden="1" customHeight="1" x14ac:dyDescent="0.25">
      <c r="A13" s="78"/>
      <c r="B13" s="6"/>
      <c r="C13" s="6"/>
      <c r="D13" s="11">
        <f t="shared" si="1"/>
        <v>0</v>
      </c>
      <c r="E13" s="16"/>
      <c r="F13" s="16"/>
      <c r="G13" s="75">
        <f t="shared" si="0"/>
        <v>0</v>
      </c>
    </row>
    <row r="14" spans="1:11" x14ac:dyDescent="0.25">
      <c r="A14" s="76" t="s">
        <v>7</v>
      </c>
      <c r="B14" s="20">
        <f>B16+B17+B18+B19+B20+B21+B22</f>
        <v>306183857</v>
      </c>
      <c r="C14" s="20">
        <v>110835</v>
      </c>
      <c r="D14" s="21">
        <f t="shared" si="1"/>
        <v>306294692</v>
      </c>
      <c r="E14" s="22"/>
      <c r="F14" s="22"/>
      <c r="G14" s="77">
        <f t="shared" si="0"/>
        <v>306294692</v>
      </c>
    </row>
    <row r="15" spans="1:11" x14ac:dyDescent="0.25">
      <c r="A15" s="74"/>
      <c r="B15" s="5"/>
      <c r="C15" s="5"/>
      <c r="D15" s="11"/>
      <c r="E15" s="16"/>
      <c r="F15" s="16"/>
      <c r="G15" s="75">
        <f t="shared" si="0"/>
        <v>0</v>
      </c>
    </row>
    <row r="16" spans="1:11" ht="15.75" hidden="1" customHeight="1" x14ac:dyDescent="0.25">
      <c r="A16" s="74" t="s">
        <v>8</v>
      </c>
      <c r="B16" s="3">
        <v>165241506.40000001</v>
      </c>
      <c r="C16" s="3">
        <v>0</v>
      </c>
      <c r="D16" s="11">
        <f t="shared" si="1"/>
        <v>165241506.40000001</v>
      </c>
      <c r="E16" s="16"/>
      <c r="F16" s="16"/>
      <c r="G16" s="75">
        <f t="shared" si="0"/>
        <v>165241506.40000001</v>
      </c>
    </row>
    <row r="17" spans="1:7" ht="15.75" hidden="1" customHeight="1" x14ac:dyDescent="0.25">
      <c r="A17" s="74" t="s">
        <v>9</v>
      </c>
      <c r="B17" s="3">
        <v>7931024.6500000004</v>
      </c>
      <c r="C17" s="3">
        <v>0</v>
      </c>
      <c r="D17" s="11">
        <f t="shared" si="1"/>
        <v>7931024.6500000004</v>
      </c>
      <c r="E17" s="16"/>
      <c r="F17" s="16"/>
      <c r="G17" s="75">
        <f t="shared" si="0"/>
        <v>7931024.6500000004</v>
      </c>
    </row>
    <row r="18" spans="1:7" ht="15.75" hidden="1" customHeight="1" x14ac:dyDescent="0.25">
      <c r="A18" s="74" t="s">
        <v>10</v>
      </c>
      <c r="B18" s="3">
        <v>19482058.66</v>
      </c>
      <c r="C18" s="3">
        <v>0</v>
      </c>
      <c r="D18" s="11">
        <f t="shared" si="1"/>
        <v>19482058.66</v>
      </c>
      <c r="E18" s="16"/>
      <c r="F18" s="16"/>
      <c r="G18" s="75">
        <f t="shared" si="0"/>
        <v>19482058.66</v>
      </c>
    </row>
    <row r="19" spans="1:7" ht="15.75" hidden="1" customHeight="1" x14ac:dyDescent="0.25">
      <c r="A19" s="74" t="s">
        <v>11</v>
      </c>
      <c r="B19" s="3">
        <v>33426249.41</v>
      </c>
      <c r="C19" s="3">
        <v>0</v>
      </c>
      <c r="D19" s="11">
        <f t="shared" si="1"/>
        <v>33426249.41</v>
      </c>
      <c r="E19" s="16"/>
      <c r="F19" s="16"/>
      <c r="G19" s="75">
        <f t="shared" si="0"/>
        <v>33426249.41</v>
      </c>
    </row>
    <row r="20" spans="1:7" ht="15.75" hidden="1" customHeight="1" x14ac:dyDescent="0.25">
      <c r="A20" s="74" t="s">
        <v>12</v>
      </c>
      <c r="B20" s="3">
        <v>4498994.55</v>
      </c>
      <c r="C20" s="3">
        <v>0</v>
      </c>
      <c r="D20" s="11">
        <f t="shared" si="1"/>
        <v>4498994.55</v>
      </c>
      <c r="E20" s="16"/>
      <c r="F20" s="16"/>
      <c r="G20" s="75">
        <f t="shared" si="0"/>
        <v>4498994.55</v>
      </c>
    </row>
    <row r="21" spans="1:7" ht="15.75" hidden="1" customHeight="1" x14ac:dyDescent="0.25">
      <c r="A21" s="74" t="s">
        <v>13</v>
      </c>
      <c r="B21" s="3">
        <v>75408657.090000004</v>
      </c>
      <c r="C21" s="3">
        <v>0</v>
      </c>
      <c r="D21" s="11">
        <f t="shared" si="1"/>
        <v>75408657.090000004</v>
      </c>
      <c r="E21" s="16"/>
      <c r="F21" s="16"/>
      <c r="G21" s="75">
        <f t="shared" si="0"/>
        <v>75408657.090000004</v>
      </c>
    </row>
    <row r="22" spans="1:7" ht="15.75" hidden="1" customHeight="1" x14ac:dyDescent="0.25">
      <c r="A22" s="74" t="s">
        <v>14</v>
      </c>
      <c r="B22" s="3">
        <v>195366.24</v>
      </c>
      <c r="C22" s="3">
        <v>0</v>
      </c>
      <c r="D22" s="11">
        <f t="shared" si="1"/>
        <v>195366.24</v>
      </c>
      <c r="E22" s="16"/>
      <c r="F22" s="16"/>
      <c r="G22" s="75">
        <f t="shared" si="0"/>
        <v>195366.24</v>
      </c>
    </row>
    <row r="23" spans="1:7" ht="15.75" hidden="1" customHeight="1" x14ac:dyDescent="0.25">
      <c r="A23" s="78"/>
      <c r="B23" s="6"/>
      <c r="C23" s="6"/>
      <c r="D23" s="11">
        <f t="shared" si="1"/>
        <v>0</v>
      </c>
      <c r="E23" s="16"/>
      <c r="F23" s="16"/>
      <c r="G23" s="75">
        <f t="shared" si="0"/>
        <v>0</v>
      </c>
    </row>
    <row r="24" spans="1:7" x14ac:dyDescent="0.25">
      <c r="A24" s="76" t="s">
        <v>15</v>
      </c>
      <c r="B24" s="24">
        <v>510969.15</v>
      </c>
      <c r="C24" s="24">
        <v>100454</v>
      </c>
      <c r="D24" s="21">
        <f t="shared" si="1"/>
        <v>611423.15</v>
      </c>
      <c r="E24" s="25">
        <v>60000</v>
      </c>
      <c r="F24" s="25"/>
      <c r="G24" s="77">
        <f>+D24-E24-F24</f>
        <v>551423.15</v>
      </c>
    </row>
    <row r="25" spans="1:7" ht="15.75" hidden="1" customHeight="1" x14ac:dyDescent="0.25">
      <c r="A25" s="74"/>
      <c r="B25" s="3"/>
      <c r="C25" s="3"/>
      <c r="D25" s="11">
        <f t="shared" si="1"/>
        <v>0</v>
      </c>
      <c r="E25" s="16"/>
      <c r="F25" s="16"/>
      <c r="G25" s="75">
        <f t="shared" si="0"/>
        <v>0</v>
      </c>
    </row>
    <row r="26" spans="1:7" x14ac:dyDescent="0.25">
      <c r="A26" s="78"/>
      <c r="B26" s="6"/>
      <c r="C26" s="6"/>
      <c r="D26" s="11"/>
      <c r="E26" s="16"/>
      <c r="F26" s="16"/>
      <c r="G26" s="75">
        <f t="shared" si="0"/>
        <v>0</v>
      </c>
    </row>
    <row r="27" spans="1:7" x14ac:dyDescent="0.25">
      <c r="A27" s="72" t="s">
        <v>52</v>
      </c>
      <c r="B27" s="26">
        <f>B29+B31+B43+B45</f>
        <v>607326481.73000002</v>
      </c>
      <c r="C27" s="26">
        <f>C29+C31+C43+C45</f>
        <v>1794512</v>
      </c>
      <c r="D27" s="27">
        <f t="shared" si="1"/>
        <v>609120993.73000002</v>
      </c>
      <c r="E27" s="28"/>
      <c r="F27" s="28"/>
      <c r="G27" s="73">
        <f>G28+G29+G31+G45</f>
        <v>608484630.73000002</v>
      </c>
    </row>
    <row r="28" spans="1:7" x14ac:dyDescent="0.25">
      <c r="A28" s="79"/>
      <c r="B28" s="7"/>
      <c r="C28" s="7"/>
      <c r="D28" s="11"/>
      <c r="E28" s="16"/>
      <c r="F28" s="16"/>
      <c r="G28" s="80">
        <f>+D28+E28-F28</f>
        <v>0</v>
      </c>
    </row>
    <row r="29" spans="1:7" x14ac:dyDescent="0.25">
      <c r="A29" s="76" t="s">
        <v>53</v>
      </c>
      <c r="B29" s="24">
        <v>22720.42</v>
      </c>
      <c r="C29" s="24">
        <v>0</v>
      </c>
      <c r="D29" s="21">
        <f t="shared" si="1"/>
        <v>22720.42</v>
      </c>
      <c r="E29" s="22"/>
      <c r="F29" s="22"/>
      <c r="G29" s="77">
        <f t="shared" si="0"/>
        <v>22720.42</v>
      </c>
    </row>
    <row r="30" spans="1:7" x14ac:dyDescent="0.25">
      <c r="A30" s="74"/>
      <c r="B30" s="3"/>
      <c r="C30" s="3"/>
      <c r="D30" s="11"/>
      <c r="E30" s="16"/>
      <c r="F30" s="16"/>
      <c r="G30" s="75">
        <f t="shared" si="0"/>
        <v>0</v>
      </c>
    </row>
    <row r="31" spans="1:7" x14ac:dyDescent="0.25">
      <c r="A31" s="76" t="s">
        <v>60</v>
      </c>
      <c r="B31" s="20">
        <f>B33+B34+B35+B36+B37+B38+B39+B40+B41</f>
        <v>228874181.95999998</v>
      </c>
      <c r="C31" s="20">
        <v>705409</v>
      </c>
      <c r="D31" s="21">
        <f t="shared" si="1"/>
        <v>229579590.95999998</v>
      </c>
      <c r="E31" s="25">
        <v>140899</v>
      </c>
      <c r="F31" s="25">
        <v>495464</v>
      </c>
      <c r="G31" s="77">
        <f>+D31-E31-F31</f>
        <v>228943227.95999998</v>
      </c>
    </row>
    <row r="32" spans="1:7" x14ac:dyDescent="0.25">
      <c r="A32" s="74"/>
      <c r="B32" s="5"/>
      <c r="C32" s="5"/>
      <c r="D32" s="11"/>
      <c r="E32" s="16"/>
      <c r="F32" s="16"/>
      <c r="G32" s="75">
        <f t="shared" si="0"/>
        <v>0</v>
      </c>
    </row>
    <row r="33" spans="1:9" ht="15.75" hidden="1" customHeight="1" x14ac:dyDescent="0.25">
      <c r="A33" s="74" t="s">
        <v>16</v>
      </c>
      <c r="B33" s="3">
        <v>49743521.899999999</v>
      </c>
      <c r="C33" s="3">
        <v>0</v>
      </c>
      <c r="D33" s="11">
        <f t="shared" si="1"/>
        <v>49743521.899999999</v>
      </c>
      <c r="E33" s="16"/>
      <c r="F33" s="16"/>
      <c r="G33" s="75">
        <f t="shared" si="0"/>
        <v>49743521.899999999</v>
      </c>
    </row>
    <row r="34" spans="1:9" ht="15.75" hidden="1" customHeight="1" x14ac:dyDescent="0.25">
      <c r="A34" s="74" t="s">
        <v>17</v>
      </c>
      <c r="B34" s="3">
        <v>14726259.109999999</v>
      </c>
      <c r="C34" s="3">
        <v>0</v>
      </c>
      <c r="D34" s="11">
        <f t="shared" si="1"/>
        <v>14726259.109999999</v>
      </c>
      <c r="E34" s="16"/>
      <c r="F34" s="16"/>
      <c r="G34" s="75">
        <f t="shared" si="0"/>
        <v>14726259.109999999</v>
      </c>
    </row>
    <row r="35" spans="1:9" ht="15.75" hidden="1" customHeight="1" x14ac:dyDescent="0.25">
      <c r="A35" s="74" t="s">
        <v>18</v>
      </c>
      <c r="B35" s="3">
        <v>427812.65</v>
      </c>
      <c r="C35" s="3">
        <v>0</v>
      </c>
      <c r="D35" s="11">
        <f t="shared" si="1"/>
        <v>427812.65</v>
      </c>
      <c r="E35" s="16"/>
      <c r="F35" s="16"/>
      <c r="G35" s="75">
        <f t="shared" si="0"/>
        <v>427812.65</v>
      </c>
    </row>
    <row r="36" spans="1:9" ht="15.75" hidden="1" customHeight="1" x14ac:dyDescent="0.25">
      <c r="A36" s="74" t="s">
        <v>62</v>
      </c>
      <c r="B36" s="3">
        <v>24334206.059999999</v>
      </c>
      <c r="C36" s="3">
        <v>0</v>
      </c>
      <c r="D36" s="11">
        <f t="shared" si="1"/>
        <v>24334206.059999999</v>
      </c>
      <c r="E36" s="16"/>
      <c r="F36" s="16"/>
      <c r="G36" s="75">
        <f t="shared" si="0"/>
        <v>24334206.059999999</v>
      </c>
    </row>
    <row r="37" spans="1:9" ht="15.75" hidden="1" customHeight="1" x14ac:dyDescent="0.25">
      <c r="A37" s="74" t="s">
        <v>19</v>
      </c>
      <c r="B37" s="3">
        <v>1667494.73</v>
      </c>
      <c r="C37" s="3">
        <v>0</v>
      </c>
      <c r="D37" s="11">
        <f t="shared" si="1"/>
        <v>1667494.73</v>
      </c>
      <c r="E37" s="16"/>
      <c r="F37" s="16"/>
      <c r="G37" s="75">
        <f t="shared" si="0"/>
        <v>1667494.73</v>
      </c>
    </row>
    <row r="38" spans="1:9" ht="15.75" hidden="1" customHeight="1" x14ac:dyDescent="0.25">
      <c r="A38" s="74" t="s">
        <v>20</v>
      </c>
      <c r="B38" s="3">
        <v>93843687.069999993</v>
      </c>
      <c r="C38" s="3">
        <v>0</v>
      </c>
      <c r="D38" s="11">
        <f t="shared" si="1"/>
        <v>93843687.069999993</v>
      </c>
      <c r="E38" s="16"/>
      <c r="F38" s="16"/>
      <c r="G38" s="75">
        <f t="shared" si="0"/>
        <v>93843687.069999993</v>
      </c>
    </row>
    <row r="39" spans="1:9" ht="15.75" hidden="1" customHeight="1" x14ac:dyDescent="0.25">
      <c r="A39" s="74" t="s">
        <v>21</v>
      </c>
      <c r="B39" s="3">
        <v>0</v>
      </c>
      <c r="C39" s="3">
        <v>0</v>
      </c>
      <c r="D39" s="11">
        <f t="shared" si="1"/>
        <v>0</v>
      </c>
      <c r="E39" s="16"/>
      <c r="F39" s="16"/>
      <c r="G39" s="75">
        <f t="shared" si="0"/>
        <v>0</v>
      </c>
    </row>
    <row r="40" spans="1:9" ht="15.75" hidden="1" customHeight="1" x14ac:dyDescent="0.25">
      <c r="A40" s="74" t="s">
        <v>22</v>
      </c>
      <c r="B40" s="3">
        <v>8567762.6500000004</v>
      </c>
      <c r="C40" s="3">
        <v>0</v>
      </c>
      <c r="D40" s="11">
        <f t="shared" si="1"/>
        <v>8567762.6500000004</v>
      </c>
      <c r="E40" s="16"/>
      <c r="F40" s="16"/>
      <c r="G40" s="75">
        <f t="shared" si="0"/>
        <v>8567762.6500000004</v>
      </c>
    </row>
    <row r="41" spans="1:9" ht="15.75" hidden="1" customHeight="1" x14ac:dyDescent="0.25">
      <c r="A41" s="74" t="s">
        <v>23</v>
      </c>
      <c r="B41" s="3">
        <v>35563437.789999999</v>
      </c>
      <c r="C41" s="3">
        <v>0</v>
      </c>
      <c r="D41" s="11">
        <f t="shared" si="1"/>
        <v>35563437.789999999</v>
      </c>
      <c r="E41" s="16"/>
      <c r="F41" s="16"/>
      <c r="G41" s="75">
        <f t="shared" si="0"/>
        <v>35563437.789999999</v>
      </c>
    </row>
    <row r="42" spans="1:9" ht="15.75" hidden="1" customHeight="1" x14ac:dyDescent="0.25">
      <c r="A42" s="78"/>
      <c r="B42" s="6"/>
      <c r="C42" s="6"/>
      <c r="D42" s="11">
        <f t="shared" si="1"/>
        <v>0</v>
      </c>
      <c r="E42" s="16"/>
      <c r="F42" s="16"/>
      <c r="G42" s="75">
        <f t="shared" si="0"/>
        <v>0</v>
      </c>
    </row>
    <row r="43" spans="1:9" x14ac:dyDescent="0.25">
      <c r="A43" s="76" t="s">
        <v>24</v>
      </c>
      <c r="B43" s="24">
        <v>0</v>
      </c>
      <c r="C43" s="24">
        <v>0</v>
      </c>
      <c r="D43" s="23">
        <v>0</v>
      </c>
      <c r="E43" s="22"/>
      <c r="F43" s="22"/>
      <c r="G43" s="77">
        <f t="shared" si="0"/>
        <v>0</v>
      </c>
    </row>
    <row r="44" spans="1:9" x14ac:dyDescent="0.25">
      <c r="A44" s="81"/>
      <c r="B44" s="6"/>
      <c r="C44" s="6"/>
      <c r="D44" s="11"/>
      <c r="E44" s="16"/>
      <c r="F44" s="16"/>
      <c r="G44" s="75">
        <f t="shared" si="0"/>
        <v>0</v>
      </c>
    </row>
    <row r="45" spans="1:9" x14ac:dyDescent="0.25">
      <c r="A45" s="76" t="s">
        <v>25</v>
      </c>
      <c r="B45" s="20">
        <f>B47+B48</f>
        <v>378429579.35000002</v>
      </c>
      <c r="C45" s="20">
        <v>1089103</v>
      </c>
      <c r="D45" s="21">
        <f t="shared" si="1"/>
        <v>379518682.35000002</v>
      </c>
      <c r="E45" s="22"/>
      <c r="F45" s="22"/>
      <c r="G45" s="77">
        <f t="shared" si="0"/>
        <v>379518682.35000002</v>
      </c>
      <c r="I45" s="13"/>
    </row>
    <row r="46" spans="1:9" x14ac:dyDescent="0.25">
      <c r="A46" s="74"/>
      <c r="B46" s="5"/>
      <c r="C46" s="5"/>
      <c r="D46" s="11"/>
      <c r="E46" s="16"/>
      <c r="F46" s="16"/>
      <c r="G46" s="75">
        <f t="shared" si="0"/>
        <v>0</v>
      </c>
    </row>
    <row r="47" spans="1:9" ht="15.75" hidden="1" customHeight="1" x14ac:dyDescent="0.25">
      <c r="A47" s="74" t="s">
        <v>26</v>
      </c>
      <c r="B47" s="3">
        <v>378407023</v>
      </c>
      <c r="C47" s="3">
        <v>0</v>
      </c>
      <c r="D47" s="11">
        <f t="shared" si="1"/>
        <v>378407023</v>
      </c>
      <c r="E47" s="16"/>
      <c r="F47" s="16"/>
      <c r="G47" s="75">
        <f t="shared" si="0"/>
        <v>378407023</v>
      </c>
    </row>
    <row r="48" spans="1:9" ht="15.75" hidden="1" customHeight="1" x14ac:dyDescent="0.25">
      <c r="A48" s="74" t="s">
        <v>27</v>
      </c>
      <c r="B48" s="3">
        <v>22556.35</v>
      </c>
      <c r="C48" s="3">
        <v>0</v>
      </c>
      <c r="D48" s="11">
        <f t="shared" si="1"/>
        <v>22556.35</v>
      </c>
      <c r="E48" s="16"/>
      <c r="F48" s="16"/>
      <c r="G48" s="75">
        <f t="shared" si="0"/>
        <v>22556.35</v>
      </c>
    </row>
    <row r="49" spans="1:9" ht="15.75" hidden="1" customHeight="1" x14ac:dyDescent="0.25">
      <c r="A49" s="82"/>
      <c r="B49" s="4"/>
      <c r="C49" s="4"/>
      <c r="D49" s="11">
        <f t="shared" si="1"/>
        <v>0</v>
      </c>
      <c r="E49" s="16"/>
      <c r="F49" s="16"/>
      <c r="G49" s="75">
        <f t="shared" si="0"/>
        <v>0</v>
      </c>
    </row>
    <row r="50" spans="1:9" x14ac:dyDescent="0.25">
      <c r="A50" s="72" t="s">
        <v>28</v>
      </c>
      <c r="B50" s="26">
        <f>B52</f>
        <v>10307476.720000001</v>
      </c>
      <c r="C50" s="26">
        <v>67651</v>
      </c>
      <c r="D50" s="27">
        <f t="shared" si="1"/>
        <v>10375127.720000001</v>
      </c>
      <c r="E50" s="28"/>
      <c r="F50" s="28"/>
      <c r="G50" s="73">
        <f t="shared" si="0"/>
        <v>10375127.720000001</v>
      </c>
    </row>
    <row r="51" spans="1:9" x14ac:dyDescent="0.25">
      <c r="A51" s="83"/>
      <c r="B51" s="18"/>
      <c r="C51" s="18"/>
      <c r="D51" s="11">
        <f t="shared" si="1"/>
        <v>0</v>
      </c>
      <c r="E51" s="16"/>
      <c r="F51" s="16"/>
      <c r="G51" s="75">
        <f t="shared" si="0"/>
        <v>0</v>
      </c>
    </row>
    <row r="52" spans="1:9" x14ac:dyDescent="0.25">
      <c r="A52" s="74" t="s">
        <v>65</v>
      </c>
      <c r="B52" s="3">
        <v>10307476.720000001</v>
      </c>
      <c r="C52" s="19">
        <v>0</v>
      </c>
      <c r="D52" s="11">
        <f t="shared" si="1"/>
        <v>10307476.720000001</v>
      </c>
      <c r="E52" s="16"/>
      <c r="F52" s="16"/>
      <c r="G52" s="75">
        <f t="shared" si="0"/>
        <v>10307476.720000001</v>
      </c>
    </row>
    <row r="53" spans="1:9" x14ac:dyDescent="0.25">
      <c r="A53" s="74"/>
      <c r="B53" s="3"/>
      <c r="C53" s="3"/>
      <c r="D53" s="11">
        <f t="shared" si="1"/>
        <v>0</v>
      </c>
      <c r="E53" s="16"/>
      <c r="F53" s="16"/>
      <c r="G53" s="75">
        <f t="shared" si="0"/>
        <v>0</v>
      </c>
    </row>
    <row r="54" spans="1:9" x14ac:dyDescent="0.25">
      <c r="A54" s="125" t="s">
        <v>160</v>
      </c>
      <c r="B54" s="126">
        <f>B56</f>
        <v>703174.14</v>
      </c>
      <c r="C54" s="126">
        <f>C56</f>
        <v>0</v>
      </c>
      <c r="D54" s="127">
        <f t="shared" si="1"/>
        <v>703174.14</v>
      </c>
      <c r="E54" s="128"/>
      <c r="F54" s="128"/>
      <c r="G54" s="129">
        <f t="shared" si="0"/>
        <v>703174.14</v>
      </c>
    </row>
    <row r="55" spans="1:9" x14ac:dyDescent="0.25">
      <c r="A55" s="130"/>
      <c r="B55" s="3"/>
      <c r="C55" s="3"/>
      <c r="D55" s="11">
        <f t="shared" si="1"/>
        <v>0</v>
      </c>
      <c r="E55" s="16"/>
      <c r="F55" s="16"/>
      <c r="G55" s="75">
        <f t="shared" si="0"/>
        <v>0</v>
      </c>
    </row>
    <row r="56" spans="1:9" x14ac:dyDescent="0.25">
      <c r="A56" s="74" t="s">
        <v>66</v>
      </c>
      <c r="B56" s="3">
        <v>703174.14</v>
      </c>
      <c r="C56" s="3">
        <v>0</v>
      </c>
      <c r="D56" s="11">
        <f t="shared" si="1"/>
        <v>703174.14</v>
      </c>
      <c r="E56" s="16"/>
      <c r="F56" s="16"/>
      <c r="G56" s="75">
        <f t="shared" si="0"/>
        <v>703174.14</v>
      </c>
    </row>
    <row r="57" spans="1:9" ht="16" thickBot="1" x14ac:dyDescent="0.3">
      <c r="A57" s="78"/>
      <c r="B57" s="6"/>
      <c r="C57" s="6"/>
      <c r="D57" s="11"/>
      <c r="E57" s="16"/>
      <c r="F57" s="16"/>
      <c r="G57" s="75">
        <f t="shared" si="0"/>
        <v>0</v>
      </c>
    </row>
    <row r="58" spans="1:9" ht="16" thickBot="1" x14ac:dyDescent="0.3">
      <c r="A58" s="29" t="s">
        <v>54</v>
      </c>
      <c r="B58" s="30">
        <f>B4+B27+B50+B54</f>
        <v>926316335.22000003</v>
      </c>
      <c r="C58" s="30">
        <f>C4+C27+C50+C54</f>
        <v>2081939</v>
      </c>
      <c r="D58" s="30">
        <f t="shared" si="1"/>
        <v>928398274.22000003</v>
      </c>
      <c r="E58" s="30">
        <f>SUM(E4:E57)</f>
        <v>200899</v>
      </c>
      <c r="F58" s="30">
        <f>SUM(F4:F57)</f>
        <v>495464</v>
      </c>
      <c r="G58" s="40">
        <f>+D58-E58-F58</f>
        <v>927701911.22000003</v>
      </c>
      <c r="H58" s="14">
        <f>G4+G27+G50+G54</f>
        <v>927701911.22000003</v>
      </c>
    </row>
    <row r="59" spans="1:9" x14ac:dyDescent="0.25">
      <c r="A59" s="84" t="s">
        <v>55</v>
      </c>
      <c r="B59" s="31">
        <v>279701992.16000003</v>
      </c>
      <c r="C59" s="31">
        <v>0</v>
      </c>
      <c r="D59" s="31">
        <f t="shared" si="1"/>
        <v>279701992.16000003</v>
      </c>
      <c r="E59" s="31"/>
      <c r="F59" s="31"/>
      <c r="G59" s="85">
        <f t="shared" si="0"/>
        <v>279701992.16000003</v>
      </c>
      <c r="I59" s="117"/>
    </row>
    <row r="60" spans="1:9" x14ac:dyDescent="0.25">
      <c r="A60" s="86"/>
      <c r="B60" s="1"/>
      <c r="C60" s="1"/>
      <c r="D60" s="11"/>
      <c r="E60" s="16"/>
      <c r="F60" s="16"/>
      <c r="G60" s="75"/>
      <c r="I60" s="117"/>
    </row>
    <row r="61" spans="1:9" x14ac:dyDescent="0.25">
      <c r="A61" s="86"/>
      <c r="B61" s="1"/>
      <c r="C61" s="1"/>
      <c r="D61" s="11"/>
      <c r="E61" s="16"/>
      <c r="F61" s="16"/>
      <c r="G61" s="80"/>
    </row>
    <row r="62" spans="1:9" x14ac:dyDescent="0.25">
      <c r="A62" s="87" t="s">
        <v>59</v>
      </c>
      <c r="B62" s="2" t="s">
        <v>71</v>
      </c>
      <c r="C62" s="2" t="s">
        <v>72</v>
      </c>
      <c r="D62" s="2" t="s">
        <v>73</v>
      </c>
      <c r="E62" s="593" t="s">
        <v>74</v>
      </c>
      <c r="F62" s="594"/>
      <c r="G62" s="88" t="s">
        <v>75</v>
      </c>
    </row>
    <row r="63" spans="1:9" x14ac:dyDescent="0.25">
      <c r="A63" s="70"/>
      <c r="B63" s="5"/>
      <c r="C63" s="5"/>
      <c r="D63" s="11"/>
      <c r="E63" s="16"/>
      <c r="F63" s="16"/>
      <c r="G63" s="80">
        <f t="shared" si="0"/>
        <v>0</v>
      </c>
      <c r="I63" s="124"/>
    </row>
    <row r="64" spans="1:9" x14ac:dyDescent="0.25">
      <c r="A64" s="72" t="s">
        <v>29</v>
      </c>
      <c r="B64" s="26">
        <f>B66+B68+B74+B75</f>
        <v>531473823.99000001</v>
      </c>
      <c r="C64" s="26">
        <f>C66+C68+C74</f>
        <v>1337063</v>
      </c>
      <c r="D64" s="41">
        <f>+B64+C64</f>
        <v>532810886.99000001</v>
      </c>
      <c r="E64" s="28"/>
      <c r="F64" s="26">
        <f>F66+F68+F74</f>
        <v>60000</v>
      </c>
      <c r="G64" s="73">
        <f>G66+G68+G74</f>
        <v>532750886.99000001</v>
      </c>
    </row>
    <row r="65" spans="1:7" x14ac:dyDescent="0.25">
      <c r="A65" s="74"/>
      <c r="B65" s="42"/>
      <c r="C65" s="42"/>
      <c r="D65" s="43"/>
      <c r="E65" s="16"/>
      <c r="F65" s="16"/>
      <c r="G65" s="75">
        <f t="shared" si="0"/>
        <v>0</v>
      </c>
    </row>
    <row r="66" spans="1:7" ht="18" customHeight="1" x14ac:dyDescent="0.25">
      <c r="A66" s="76" t="s">
        <v>30</v>
      </c>
      <c r="B66" s="44">
        <v>107139198.12</v>
      </c>
      <c r="C66" s="44">
        <v>60000</v>
      </c>
      <c r="D66" s="45">
        <f>+B66+C66</f>
        <v>107199198.12</v>
      </c>
      <c r="E66" s="22"/>
      <c r="F66" s="25">
        <v>60000</v>
      </c>
      <c r="G66" s="77">
        <f>+D66+E66-F66</f>
        <v>107139198.12</v>
      </c>
    </row>
    <row r="67" spans="1:7" x14ac:dyDescent="0.25">
      <c r="A67" s="74"/>
      <c r="B67" s="42"/>
      <c r="C67" s="42"/>
      <c r="D67" s="43"/>
      <c r="E67" s="16"/>
      <c r="F67" s="16"/>
      <c r="G67" s="75">
        <f t="shared" si="0"/>
        <v>0</v>
      </c>
    </row>
    <row r="68" spans="1:7" x14ac:dyDescent="0.25">
      <c r="A68" s="76" t="s">
        <v>31</v>
      </c>
      <c r="B68" s="20">
        <v>341664513.36000001</v>
      </c>
      <c r="C68" s="20">
        <v>0</v>
      </c>
      <c r="D68" s="45">
        <f>+B68+C68</f>
        <v>341664513.36000001</v>
      </c>
      <c r="E68" s="22"/>
      <c r="F68" s="22"/>
      <c r="G68" s="77">
        <f t="shared" ref="G68:G119" si="2">+D68+E68-F68</f>
        <v>341664513.36000001</v>
      </c>
    </row>
    <row r="69" spans="1:7" x14ac:dyDescent="0.25">
      <c r="A69" s="70"/>
      <c r="B69" s="46"/>
      <c r="C69" s="46"/>
      <c r="D69" s="43"/>
      <c r="E69" s="16"/>
      <c r="F69" s="16"/>
      <c r="G69" s="75">
        <f t="shared" si="2"/>
        <v>0</v>
      </c>
    </row>
    <row r="70" spans="1:7" ht="15.75" hidden="1" customHeight="1" x14ac:dyDescent="0.25">
      <c r="A70" s="74" t="s">
        <v>32</v>
      </c>
      <c r="B70" s="42">
        <v>11243232.189999999</v>
      </c>
      <c r="C70" s="42">
        <v>0</v>
      </c>
      <c r="D70" s="43">
        <f t="shared" ref="D70:D119" si="3">+B70+C70</f>
        <v>11243232.189999999</v>
      </c>
      <c r="E70" s="16"/>
      <c r="F70" s="16"/>
      <c r="G70" s="75">
        <f t="shared" si="2"/>
        <v>11243232.189999999</v>
      </c>
    </row>
    <row r="71" spans="1:7" ht="15.75" hidden="1" customHeight="1" x14ac:dyDescent="0.25">
      <c r="A71" s="74" t="s">
        <v>33</v>
      </c>
      <c r="B71" s="42">
        <v>238329965.06999999</v>
      </c>
      <c r="C71" s="42">
        <v>0</v>
      </c>
      <c r="D71" s="43">
        <f t="shared" si="3"/>
        <v>238329965.06999999</v>
      </c>
      <c r="E71" s="16"/>
      <c r="F71" s="16"/>
      <c r="G71" s="75">
        <f t="shared" si="2"/>
        <v>238329965.06999999</v>
      </c>
    </row>
    <row r="72" spans="1:7" ht="15.75" hidden="1" customHeight="1" x14ac:dyDescent="0.25">
      <c r="A72" s="74" t="s">
        <v>63</v>
      </c>
      <c r="B72" s="42">
        <v>92091316.099999994</v>
      </c>
      <c r="C72" s="42">
        <v>0</v>
      </c>
      <c r="D72" s="43">
        <f t="shared" si="3"/>
        <v>92091316.099999994</v>
      </c>
      <c r="E72" s="16"/>
      <c r="F72" s="16"/>
      <c r="G72" s="75">
        <f t="shared" si="2"/>
        <v>92091316.099999994</v>
      </c>
    </row>
    <row r="73" spans="1:7" ht="15.75" hidden="1" customHeight="1" x14ac:dyDescent="0.25">
      <c r="A73" s="78"/>
      <c r="B73" s="47"/>
      <c r="C73" s="47"/>
      <c r="D73" s="43">
        <f t="shared" si="3"/>
        <v>0</v>
      </c>
      <c r="E73" s="16"/>
      <c r="F73" s="16"/>
      <c r="G73" s="75">
        <f t="shared" si="2"/>
        <v>0</v>
      </c>
    </row>
    <row r="74" spans="1:7" x14ac:dyDescent="0.25">
      <c r="A74" s="76" t="s">
        <v>34</v>
      </c>
      <c r="B74" s="53">
        <f>B77+B78+B79</f>
        <v>82670112.50999999</v>
      </c>
      <c r="C74" s="20">
        <f>1122683+154380</f>
        <v>1277063</v>
      </c>
      <c r="D74" s="45">
        <f>+B74+C74</f>
        <v>83947175.50999999</v>
      </c>
      <c r="E74" s="25"/>
      <c r="F74" s="25"/>
      <c r="G74" s="77">
        <f>+D74-E74-F74</f>
        <v>83947175.50999999</v>
      </c>
    </row>
    <row r="75" spans="1:7" hidden="1" x14ac:dyDescent="0.25">
      <c r="B75" s="65"/>
      <c r="C75" s="52"/>
      <c r="D75" s="43">
        <f t="shared" si="3"/>
        <v>0</v>
      </c>
      <c r="E75" s="16"/>
      <c r="F75" s="16"/>
      <c r="G75" s="75">
        <f t="shared" si="2"/>
        <v>0</v>
      </c>
    </row>
    <row r="76" spans="1:7" x14ac:dyDescent="0.25">
      <c r="A76" s="70"/>
      <c r="B76" s="46"/>
      <c r="C76" s="46"/>
      <c r="D76" s="43"/>
      <c r="E76" s="16"/>
      <c r="F76" s="16"/>
      <c r="G76" s="75">
        <f t="shared" si="2"/>
        <v>0</v>
      </c>
    </row>
    <row r="77" spans="1:7" ht="15.75" hidden="1" customHeight="1" x14ac:dyDescent="0.25">
      <c r="A77" s="74" t="s">
        <v>35</v>
      </c>
      <c r="B77" s="42">
        <v>46331435.640000001</v>
      </c>
      <c r="C77" s="42">
        <v>0</v>
      </c>
      <c r="D77" s="43"/>
      <c r="E77" s="16"/>
      <c r="F77" s="16"/>
      <c r="G77" s="75">
        <f t="shared" si="2"/>
        <v>0</v>
      </c>
    </row>
    <row r="78" spans="1:7" ht="15.75" hidden="1" customHeight="1" x14ac:dyDescent="0.25">
      <c r="A78" s="74" t="s">
        <v>36</v>
      </c>
      <c r="B78" s="42">
        <v>36338676.869999997</v>
      </c>
      <c r="C78" s="42">
        <v>0</v>
      </c>
      <c r="D78" s="43"/>
      <c r="E78" s="16"/>
      <c r="F78" s="16"/>
      <c r="G78" s="75">
        <f t="shared" si="2"/>
        <v>0</v>
      </c>
    </row>
    <row r="79" spans="1:7" ht="15.75" hidden="1" customHeight="1" x14ac:dyDescent="0.25">
      <c r="A79" s="74" t="s">
        <v>37</v>
      </c>
      <c r="B79" s="42">
        <v>0</v>
      </c>
      <c r="C79" s="42">
        <v>0</v>
      </c>
      <c r="D79" s="43"/>
      <c r="E79" s="16"/>
      <c r="F79" s="16"/>
      <c r="G79" s="75">
        <f t="shared" si="2"/>
        <v>0</v>
      </c>
    </row>
    <row r="80" spans="1:7" ht="15.75" hidden="1" customHeight="1" x14ac:dyDescent="0.25">
      <c r="A80" s="78"/>
      <c r="B80" s="588"/>
      <c r="C80" s="50"/>
      <c r="D80" s="43"/>
      <c r="E80" s="16"/>
      <c r="F80" s="16"/>
      <c r="G80" s="75">
        <f t="shared" si="2"/>
        <v>0</v>
      </c>
    </row>
    <row r="81" spans="1:8" x14ac:dyDescent="0.25">
      <c r="A81" s="78"/>
      <c r="B81" s="588"/>
      <c r="C81" s="50"/>
      <c r="D81" s="43"/>
      <c r="E81" s="16"/>
      <c r="F81" s="16"/>
      <c r="G81" s="75">
        <f t="shared" si="2"/>
        <v>0</v>
      </c>
    </row>
    <row r="82" spans="1:8" x14ac:dyDescent="0.25">
      <c r="A82" s="72" t="s">
        <v>38</v>
      </c>
      <c r="B82" s="48">
        <v>54218868.479999997</v>
      </c>
      <c r="C82" s="48">
        <v>0</v>
      </c>
      <c r="D82" s="41">
        <f>+B82+C82</f>
        <v>54218868.479999997</v>
      </c>
      <c r="E82" s="28"/>
      <c r="F82" s="28"/>
      <c r="G82" s="73">
        <f>+D82+E82-F82</f>
        <v>54218868.479999997</v>
      </c>
      <c r="H82" s="117">
        <f>G64+G82+G84+G86+G101+G107</f>
        <v>927701911.22000003</v>
      </c>
    </row>
    <row r="83" spans="1:8" x14ac:dyDescent="0.25">
      <c r="A83" s="70"/>
      <c r="B83" s="46"/>
      <c r="C83" s="46"/>
      <c r="D83" s="43"/>
      <c r="E83" s="16"/>
      <c r="F83" s="16"/>
      <c r="G83" s="75">
        <f t="shared" si="2"/>
        <v>0</v>
      </c>
    </row>
    <row r="84" spans="1:8" x14ac:dyDescent="0.25">
      <c r="A84" s="72" t="s">
        <v>39</v>
      </c>
      <c r="B84" s="48">
        <v>1919839.76</v>
      </c>
      <c r="C84" s="48">
        <v>74782</v>
      </c>
      <c r="D84" s="41">
        <f>+B84+C84</f>
        <v>1994621.76</v>
      </c>
      <c r="E84" s="28"/>
      <c r="F84" s="28"/>
      <c r="G84" s="73">
        <f t="shared" si="2"/>
        <v>1994621.76</v>
      </c>
    </row>
    <row r="85" spans="1:8" x14ac:dyDescent="0.25">
      <c r="A85" s="70"/>
      <c r="B85" s="46"/>
      <c r="C85" s="46"/>
      <c r="D85" s="43"/>
      <c r="E85" s="16"/>
      <c r="F85" s="16"/>
      <c r="G85" s="75">
        <f t="shared" si="2"/>
        <v>0</v>
      </c>
    </row>
    <row r="86" spans="1:8" x14ac:dyDescent="0.25">
      <c r="A86" s="72" t="s">
        <v>61</v>
      </c>
      <c r="B86" s="26">
        <f>B87+B88+B89+B90+B91+B92+B93+B94+B95+B96+B97+B98</f>
        <v>48549741.990000002</v>
      </c>
      <c r="C86" s="26">
        <v>498954</v>
      </c>
      <c r="D86" s="41">
        <f>+B86+C86</f>
        <v>49048695.990000002</v>
      </c>
      <c r="E86" s="32">
        <v>495464</v>
      </c>
      <c r="F86" s="32">
        <v>140899</v>
      </c>
      <c r="G86" s="73">
        <f>+D86-E86-F86</f>
        <v>48412332.990000002</v>
      </c>
    </row>
    <row r="87" spans="1:8" ht="15.75" hidden="1" customHeight="1" x14ac:dyDescent="0.25">
      <c r="A87" s="74" t="s">
        <v>40</v>
      </c>
      <c r="B87" s="42">
        <v>2659850.52</v>
      </c>
      <c r="C87" s="42">
        <v>0</v>
      </c>
      <c r="D87" s="43">
        <f t="shared" si="3"/>
        <v>2659850.52</v>
      </c>
      <c r="E87" s="16"/>
      <c r="F87" s="16"/>
      <c r="G87" s="80">
        <f t="shared" si="2"/>
        <v>2659850.52</v>
      </c>
    </row>
    <row r="88" spans="1:8" ht="15.75" hidden="1" customHeight="1" x14ac:dyDescent="0.25">
      <c r="A88" s="74" t="s">
        <v>41</v>
      </c>
      <c r="B88" s="42">
        <v>194652.82</v>
      </c>
      <c r="C88" s="42">
        <v>0</v>
      </c>
      <c r="D88" s="43">
        <f t="shared" si="3"/>
        <v>194652.82</v>
      </c>
      <c r="E88" s="16"/>
      <c r="F88" s="16"/>
      <c r="G88" s="80">
        <f t="shared" si="2"/>
        <v>194652.82</v>
      </c>
    </row>
    <row r="89" spans="1:8" ht="15.75" hidden="1" customHeight="1" x14ac:dyDescent="0.25">
      <c r="A89" s="74" t="s">
        <v>42</v>
      </c>
      <c r="B89" s="42">
        <v>2298008.4900000002</v>
      </c>
      <c r="C89" s="42">
        <v>0</v>
      </c>
      <c r="D89" s="43">
        <f t="shared" si="3"/>
        <v>2298008.4900000002</v>
      </c>
      <c r="E89" s="16"/>
      <c r="F89" s="16"/>
      <c r="G89" s="80">
        <f t="shared" si="2"/>
        <v>2298008.4900000002</v>
      </c>
    </row>
    <row r="90" spans="1:8" ht="15.75" hidden="1" customHeight="1" x14ac:dyDescent="0.25">
      <c r="A90" s="74" t="s">
        <v>43</v>
      </c>
      <c r="B90" s="42">
        <v>829864</v>
      </c>
      <c r="C90" s="42">
        <v>0</v>
      </c>
      <c r="D90" s="43">
        <f t="shared" si="3"/>
        <v>829864</v>
      </c>
      <c r="E90" s="16"/>
      <c r="F90" s="16"/>
      <c r="G90" s="80">
        <f t="shared" si="2"/>
        <v>829864</v>
      </c>
    </row>
    <row r="91" spans="1:8" ht="15.75" hidden="1" customHeight="1" x14ac:dyDescent="0.25">
      <c r="A91" s="74" t="s">
        <v>64</v>
      </c>
      <c r="B91" s="42">
        <v>0</v>
      </c>
      <c r="C91" s="42">
        <v>0</v>
      </c>
      <c r="D91" s="43">
        <f t="shared" si="3"/>
        <v>0</v>
      </c>
      <c r="E91" s="16"/>
      <c r="F91" s="16"/>
      <c r="G91" s="80">
        <f t="shared" si="2"/>
        <v>0</v>
      </c>
    </row>
    <row r="92" spans="1:8" ht="15.75" hidden="1" customHeight="1" x14ac:dyDescent="0.25">
      <c r="A92" s="74" t="s">
        <v>44</v>
      </c>
      <c r="B92" s="42">
        <v>196110.56</v>
      </c>
      <c r="C92" s="42">
        <v>0</v>
      </c>
      <c r="D92" s="43">
        <f t="shared" si="3"/>
        <v>196110.56</v>
      </c>
      <c r="E92" s="16"/>
      <c r="F92" s="16"/>
      <c r="G92" s="80">
        <f t="shared" si="2"/>
        <v>196110.56</v>
      </c>
    </row>
    <row r="93" spans="1:8" ht="15.75" hidden="1" customHeight="1" x14ac:dyDescent="0.25">
      <c r="A93" s="74" t="s">
        <v>45</v>
      </c>
      <c r="B93" s="42">
        <v>1361.83</v>
      </c>
      <c r="C93" s="42">
        <v>0</v>
      </c>
      <c r="D93" s="43">
        <f t="shared" si="3"/>
        <v>1361.83</v>
      </c>
      <c r="E93" s="16"/>
      <c r="F93" s="16"/>
      <c r="G93" s="80">
        <f t="shared" si="2"/>
        <v>1361.83</v>
      </c>
    </row>
    <row r="94" spans="1:8" ht="15.75" hidden="1" customHeight="1" x14ac:dyDescent="0.25">
      <c r="A94" s="74" t="s">
        <v>46</v>
      </c>
      <c r="B94" s="42">
        <v>0</v>
      </c>
      <c r="C94" s="42">
        <v>0</v>
      </c>
      <c r="D94" s="43">
        <f t="shared" si="3"/>
        <v>0</v>
      </c>
      <c r="E94" s="16"/>
      <c r="F94" s="16"/>
      <c r="G94" s="80">
        <f t="shared" si="2"/>
        <v>0</v>
      </c>
    </row>
    <row r="95" spans="1:8" ht="15.75" hidden="1" customHeight="1" x14ac:dyDescent="0.25">
      <c r="A95" s="74" t="s">
        <v>47</v>
      </c>
      <c r="B95" s="42">
        <v>11162277.76</v>
      </c>
      <c r="C95" s="42">
        <v>0</v>
      </c>
      <c r="D95" s="43">
        <f t="shared" si="3"/>
        <v>11162277.76</v>
      </c>
      <c r="E95" s="16"/>
      <c r="F95" s="16"/>
      <c r="G95" s="80">
        <f t="shared" si="2"/>
        <v>11162277.76</v>
      </c>
    </row>
    <row r="96" spans="1:8" ht="15.75" hidden="1" customHeight="1" x14ac:dyDescent="0.25">
      <c r="A96" s="74" t="s">
        <v>48</v>
      </c>
      <c r="B96" s="42">
        <v>41621.760000000002</v>
      </c>
      <c r="C96" s="42">
        <v>0</v>
      </c>
      <c r="D96" s="43">
        <f t="shared" si="3"/>
        <v>41621.760000000002</v>
      </c>
      <c r="E96" s="16"/>
      <c r="F96" s="16"/>
      <c r="G96" s="80">
        <f t="shared" si="2"/>
        <v>41621.760000000002</v>
      </c>
    </row>
    <row r="97" spans="1:7" ht="15.75" hidden="1" customHeight="1" x14ac:dyDescent="0.25">
      <c r="A97" s="74" t="s">
        <v>49</v>
      </c>
      <c r="B97" s="42">
        <v>0</v>
      </c>
      <c r="C97" s="42">
        <v>0</v>
      </c>
      <c r="D97" s="43">
        <f t="shared" si="3"/>
        <v>0</v>
      </c>
      <c r="E97" s="16"/>
      <c r="F97" s="16"/>
      <c r="G97" s="80">
        <f t="shared" si="2"/>
        <v>0</v>
      </c>
    </row>
    <row r="98" spans="1:7" ht="15.75" hidden="1" customHeight="1" x14ac:dyDescent="0.25">
      <c r="A98" s="74" t="s">
        <v>50</v>
      </c>
      <c r="B98" s="42">
        <v>31165994.25</v>
      </c>
      <c r="C98" s="42">
        <v>0</v>
      </c>
      <c r="D98" s="43">
        <f t="shared" si="3"/>
        <v>31165994.25</v>
      </c>
      <c r="E98" s="16"/>
      <c r="F98" s="16"/>
      <c r="G98" s="80">
        <f t="shared" si="2"/>
        <v>31165994.25</v>
      </c>
    </row>
    <row r="99" spans="1:7" ht="15.75" hidden="1" customHeight="1" x14ac:dyDescent="0.25">
      <c r="A99" s="589"/>
      <c r="B99" s="590"/>
      <c r="C99" s="51"/>
      <c r="D99" s="43">
        <f t="shared" si="3"/>
        <v>0</v>
      </c>
      <c r="E99" s="16"/>
      <c r="F99" s="16"/>
      <c r="G99" s="80">
        <f t="shared" si="2"/>
        <v>0</v>
      </c>
    </row>
    <row r="100" spans="1:7" ht="15.75" hidden="1" customHeight="1" x14ac:dyDescent="0.25">
      <c r="A100" s="589"/>
      <c r="B100" s="590"/>
      <c r="C100" s="51"/>
      <c r="D100" s="43">
        <f t="shared" si="3"/>
        <v>0</v>
      </c>
      <c r="E100" s="16"/>
      <c r="F100" s="16"/>
      <c r="G100" s="80">
        <f t="shared" si="2"/>
        <v>0</v>
      </c>
    </row>
    <row r="101" spans="1:7" x14ac:dyDescent="0.25">
      <c r="A101" s="72" t="s">
        <v>51</v>
      </c>
      <c r="B101" s="26">
        <f>B103+B104</f>
        <v>198689953.28</v>
      </c>
      <c r="C101" s="26">
        <v>171140</v>
      </c>
      <c r="D101" s="41">
        <f>+B101+C101</f>
        <v>198861093.28</v>
      </c>
      <c r="E101" s="28"/>
      <c r="F101" s="28"/>
      <c r="G101" s="73">
        <f t="shared" si="2"/>
        <v>198861093.28</v>
      </c>
    </row>
    <row r="102" spans="1:7" x14ac:dyDescent="0.25">
      <c r="A102" s="70"/>
      <c r="B102" s="46"/>
      <c r="C102" s="46"/>
      <c r="D102" s="43"/>
      <c r="E102" s="16"/>
      <c r="F102" s="16"/>
      <c r="G102" s="75">
        <f t="shared" si="2"/>
        <v>0</v>
      </c>
    </row>
    <row r="103" spans="1:7" ht="15.75" hidden="1" customHeight="1" x14ac:dyDescent="0.25">
      <c r="A103" s="74" t="s">
        <v>69</v>
      </c>
      <c r="B103" s="42">
        <v>17162383.489999998</v>
      </c>
      <c r="C103" s="42">
        <v>0</v>
      </c>
      <c r="D103" s="43">
        <f t="shared" si="3"/>
        <v>17162383.489999998</v>
      </c>
      <c r="E103" s="16"/>
      <c r="F103" s="16"/>
      <c r="G103" s="75">
        <f t="shared" si="2"/>
        <v>17162383.489999998</v>
      </c>
    </row>
    <row r="104" spans="1:7" ht="15.75" hidden="1" customHeight="1" x14ac:dyDescent="0.25">
      <c r="A104" s="74" t="s">
        <v>70</v>
      </c>
      <c r="B104" s="42">
        <v>181527569.78999999</v>
      </c>
      <c r="C104" s="42">
        <v>0</v>
      </c>
      <c r="D104" s="43">
        <f t="shared" si="3"/>
        <v>181527569.78999999</v>
      </c>
      <c r="E104" s="16"/>
      <c r="F104" s="16"/>
      <c r="G104" s="75">
        <f t="shared" si="2"/>
        <v>181527569.78999999</v>
      </c>
    </row>
    <row r="105" spans="1:7" ht="15.75" hidden="1" customHeight="1" x14ac:dyDescent="0.25">
      <c r="A105" s="74"/>
      <c r="B105" s="42"/>
      <c r="C105" s="42"/>
      <c r="D105" s="43">
        <f t="shared" si="3"/>
        <v>0</v>
      </c>
      <c r="E105" s="16"/>
      <c r="F105" s="16"/>
      <c r="G105" s="75">
        <f t="shared" si="2"/>
        <v>0</v>
      </c>
    </row>
    <row r="106" spans="1:7" ht="15.75" hidden="1" customHeight="1" x14ac:dyDescent="0.25">
      <c r="A106" s="81"/>
      <c r="B106" s="42"/>
      <c r="C106" s="42"/>
      <c r="D106" s="43">
        <f t="shared" si="3"/>
        <v>0</v>
      </c>
      <c r="E106" s="16"/>
      <c r="F106" s="16"/>
      <c r="G106" s="75">
        <f t="shared" si="2"/>
        <v>0</v>
      </c>
    </row>
    <row r="107" spans="1:7" x14ac:dyDescent="0.25">
      <c r="A107" s="72" t="s">
        <v>67</v>
      </c>
      <c r="B107" s="26">
        <f>B109</f>
        <v>91464107.719999999</v>
      </c>
      <c r="C107" s="26">
        <v>0</v>
      </c>
      <c r="D107" s="41">
        <f>+B107+C107</f>
        <v>91464107.719999999</v>
      </c>
      <c r="E107" s="28"/>
      <c r="F107" s="28"/>
      <c r="G107" s="73">
        <f t="shared" si="2"/>
        <v>91464107.719999999</v>
      </c>
    </row>
    <row r="108" spans="1:7" ht="16" thickBot="1" x14ac:dyDescent="0.3">
      <c r="A108" s="74"/>
      <c r="B108" s="3"/>
      <c r="C108" s="3"/>
      <c r="D108" s="11"/>
      <c r="E108" s="16"/>
      <c r="F108" s="16"/>
      <c r="G108" s="75">
        <f t="shared" si="2"/>
        <v>0</v>
      </c>
    </row>
    <row r="109" spans="1:7" ht="32.25" hidden="1" customHeight="1" thickBot="1" x14ac:dyDescent="0.3">
      <c r="A109" s="74" t="s">
        <v>68</v>
      </c>
      <c r="B109" s="3">
        <v>91464107.719999999</v>
      </c>
      <c r="C109" s="3">
        <v>0</v>
      </c>
      <c r="D109" s="11">
        <f t="shared" si="3"/>
        <v>91464107.719999999</v>
      </c>
      <c r="E109" s="16"/>
      <c r="F109" s="16"/>
      <c r="G109" s="75">
        <f t="shared" si="2"/>
        <v>91464107.719999999</v>
      </c>
    </row>
    <row r="110" spans="1:7" ht="16.5" hidden="1" customHeight="1" thickBot="1" x14ac:dyDescent="0.3">
      <c r="A110" s="81"/>
      <c r="B110" s="3"/>
      <c r="C110" s="3"/>
      <c r="D110" s="11">
        <f t="shared" si="3"/>
        <v>0</v>
      </c>
      <c r="E110" s="16"/>
      <c r="F110" s="16"/>
      <c r="G110" s="75">
        <f t="shared" si="2"/>
        <v>0</v>
      </c>
    </row>
    <row r="111" spans="1:7" ht="16.5" hidden="1" customHeight="1" thickBot="1" x14ac:dyDescent="0.3">
      <c r="A111" s="74"/>
      <c r="B111" s="3"/>
      <c r="C111" s="3"/>
      <c r="D111" s="11">
        <f t="shared" si="3"/>
        <v>0</v>
      </c>
      <c r="E111" s="16"/>
      <c r="F111" s="16"/>
      <c r="G111" s="75">
        <f t="shared" si="2"/>
        <v>0</v>
      </c>
    </row>
    <row r="112" spans="1:7" ht="16.5" hidden="1" customHeight="1" thickBot="1" x14ac:dyDescent="0.3">
      <c r="A112" s="74"/>
      <c r="B112" s="3"/>
      <c r="C112" s="3"/>
      <c r="D112" s="11">
        <f t="shared" si="3"/>
        <v>0</v>
      </c>
      <c r="E112" s="16"/>
      <c r="F112" s="16"/>
      <c r="G112" s="75">
        <f t="shared" si="2"/>
        <v>0</v>
      </c>
    </row>
    <row r="113" spans="1:10" ht="16.5" hidden="1" customHeight="1" thickBot="1" x14ac:dyDescent="0.3">
      <c r="A113" s="74"/>
      <c r="B113" s="3"/>
      <c r="C113" s="3"/>
      <c r="D113" s="11">
        <f t="shared" si="3"/>
        <v>0</v>
      </c>
      <c r="E113" s="16"/>
      <c r="F113" s="16"/>
      <c r="G113" s="75">
        <f t="shared" si="2"/>
        <v>0</v>
      </c>
    </row>
    <row r="114" spans="1:10" ht="16.5" hidden="1" customHeight="1" thickBot="1" x14ac:dyDescent="0.3">
      <c r="A114" s="81"/>
      <c r="B114" s="3"/>
      <c r="C114" s="3"/>
      <c r="D114" s="11">
        <f t="shared" si="3"/>
        <v>0</v>
      </c>
      <c r="E114" s="16"/>
      <c r="F114" s="16"/>
      <c r="G114" s="75">
        <f t="shared" si="2"/>
        <v>0</v>
      </c>
    </row>
    <row r="115" spans="1:10" ht="16.5" hidden="1" customHeight="1" thickBot="1" x14ac:dyDescent="0.3">
      <c r="A115" s="74"/>
      <c r="B115" s="3"/>
      <c r="C115" s="3"/>
      <c r="D115" s="11">
        <f t="shared" si="3"/>
        <v>0</v>
      </c>
      <c r="E115" s="16"/>
      <c r="F115" s="16"/>
      <c r="G115" s="75">
        <f t="shared" si="2"/>
        <v>0</v>
      </c>
    </row>
    <row r="116" spans="1:10" ht="16.5" hidden="1" customHeight="1" thickBot="1" x14ac:dyDescent="0.3">
      <c r="A116" s="74"/>
      <c r="B116" s="3"/>
      <c r="C116" s="3"/>
      <c r="D116" s="11">
        <f t="shared" si="3"/>
        <v>0</v>
      </c>
      <c r="E116" s="16"/>
      <c r="F116" s="16"/>
      <c r="G116" s="75">
        <f t="shared" si="2"/>
        <v>0</v>
      </c>
    </row>
    <row r="117" spans="1:10" ht="16.5" hidden="1" customHeight="1" thickBot="1" x14ac:dyDescent="0.3">
      <c r="A117" s="74"/>
      <c r="B117" s="3"/>
      <c r="C117" s="3"/>
      <c r="D117" s="11">
        <f t="shared" si="3"/>
        <v>0</v>
      </c>
      <c r="E117" s="16"/>
      <c r="F117" s="16"/>
      <c r="G117" s="75">
        <f t="shared" si="2"/>
        <v>0</v>
      </c>
    </row>
    <row r="118" spans="1:10" ht="16" thickBot="1" x14ac:dyDescent="0.3">
      <c r="A118" s="29" t="s">
        <v>56</v>
      </c>
      <c r="B118" s="30">
        <f>B64+B82+B84+B86+B101+B107</f>
        <v>926316335.22000003</v>
      </c>
      <c r="C118" s="30">
        <f>C64+C82+C84+C86+C101+C107</f>
        <v>2081939</v>
      </c>
      <c r="D118" s="30">
        <f>+B118+C118</f>
        <v>928398274.22000003</v>
      </c>
      <c r="E118" s="30">
        <f>SUM(E64:E108)</f>
        <v>495464</v>
      </c>
      <c r="F118" s="30">
        <f>+F64+F82+F86</f>
        <v>200899</v>
      </c>
      <c r="G118" s="30">
        <f>+D118-E118-F118</f>
        <v>927701911.22000003</v>
      </c>
      <c r="H118" s="12"/>
      <c r="I118" s="117"/>
      <c r="J118" s="117"/>
    </row>
    <row r="119" spans="1:10" ht="16" thickBot="1" x14ac:dyDescent="0.3">
      <c r="A119" s="90" t="s">
        <v>57</v>
      </c>
      <c r="B119" s="91">
        <f>B59</f>
        <v>279701992.16000003</v>
      </c>
      <c r="C119" s="91">
        <v>0</v>
      </c>
      <c r="D119" s="92">
        <f t="shared" si="3"/>
        <v>279701992.16000003</v>
      </c>
      <c r="E119" s="93"/>
      <c r="F119" s="93"/>
      <c r="G119" s="94">
        <f t="shared" si="2"/>
        <v>279701992.16000003</v>
      </c>
    </row>
    <row r="121" spans="1:10" x14ac:dyDescent="0.25">
      <c r="B121" s="10"/>
      <c r="D121" s="116"/>
      <c r="G121" s="116"/>
    </row>
    <row r="122" spans="1:10" x14ac:dyDescent="0.25">
      <c r="B122" s="10"/>
      <c r="D122" s="116"/>
      <c r="G122" s="116"/>
    </row>
    <row r="123" spans="1:10" x14ac:dyDescent="0.25">
      <c r="D123" s="116"/>
      <c r="G123" s="116"/>
    </row>
    <row r="124" spans="1:10" x14ac:dyDescent="0.25">
      <c r="G124" s="116"/>
    </row>
    <row r="126" spans="1:10" x14ac:dyDescent="0.25">
      <c r="E126" s="10">
        <v>43875</v>
      </c>
    </row>
  </sheetData>
  <mergeCells count="5">
    <mergeCell ref="B80:B81"/>
    <mergeCell ref="A99:A100"/>
    <mergeCell ref="B99:B100"/>
    <mergeCell ref="A1:G1"/>
    <mergeCell ref="E62:F62"/>
  </mergeCells>
  <pageMargins left="0" right="0" top="0" bottom="0" header="0.5" footer="0.5"/>
  <pageSetup scale="5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9026-B557-4BA0-BEEB-47F4C467C29C}">
  <dimension ref="A1:J36"/>
  <sheetViews>
    <sheetView tabSelected="1" topLeftCell="A19" workbookViewId="0">
      <selection activeCell="A23" sqref="A23:C28"/>
    </sheetView>
  </sheetViews>
  <sheetFormatPr defaultRowHeight="12.5" x14ac:dyDescent="0.25"/>
  <cols>
    <col min="1" max="1" width="41.1796875" customWidth="1"/>
    <col min="2" max="3" width="35.7265625" customWidth="1"/>
    <col min="10" max="10" width="17.36328125" style="49" customWidth="1"/>
  </cols>
  <sheetData>
    <row r="1" spans="1:5" ht="47.25" customHeight="1" thickBot="1" x14ac:dyDescent="0.3">
      <c r="A1" s="346" t="s">
        <v>188</v>
      </c>
      <c r="B1" s="346" t="s">
        <v>71</v>
      </c>
      <c r="C1" s="351" t="s">
        <v>72</v>
      </c>
    </row>
    <row r="2" spans="1:5" ht="20.149999999999999" customHeight="1" x14ac:dyDescent="0.35">
      <c r="A2" s="578" t="s">
        <v>142</v>
      </c>
      <c r="B2" s="576">
        <v>1360613196.3099999</v>
      </c>
      <c r="C2" s="579">
        <v>1694973</v>
      </c>
    </row>
    <row r="3" spans="1:5" ht="20.149999999999999" customHeight="1" x14ac:dyDescent="0.35">
      <c r="A3" s="580" t="s">
        <v>143</v>
      </c>
      <c r="B3" s="577">
        <v>676764305.65999997</v>
      </c>
      <c r="C3" s="581">
        <v>1006526</v>
      </c>
    </row>
    <row r="4" spans="1:5" ht="20.149999999999999" customHeight="1" x14ac:dyDescent="0.35">
      <c r="A4" s="580" t="s">
        <v>144</v>
      </c>
      <c r="B4" s="577">
        <v>683848890.6500001</v>
      </c>
      <c r="C4" s="581">
        <f>107370+361645+219432</f>
        <v>688447</v>
      </c>
      <c r="E4" s="115"/>
    </row>
    <row r="5" spans="1:5" ht="20.149999999999999" customHeight="1" x14ac:dyDescent="0.35">
      <c r="A5" s="580" t="s">
        <v>189</v>
      </c>
      <c r="B5" s="577">
        <f>700274736.93+63326.13+1540.34+22376486.66</f>
        <v>722716090.05999994</v>
      </c>
      <c r="C5" s="581">
        <f>2401058+30348</f>
        <v>2431406</v>
      </c>
    </row>
    <row r="6" spans="1:5" ht="20.149999999999999" customHeight="1" x14ac:dyDescent="0.35">
      <c r="A6" s="580" t="s">
        <v>190</v>
      </c>
      <c r="B6" s="577">
        <f>694455539.98+123292.59+3866.67+575463.38+20832523.17</f>
        <v>715990685.78999996</v>
      </c>
      <c r="C6" s="581">
        <f>2394045+27112</f>
        <v>2421157</v>
      </c>
    </row>
    <row r="7" spans="1:5" ht="20.149999999999999" customHeight="1" thickBot="1" x14ac:dyDescent="0.4">
      <c r="A7" s="582" t="s">
        <v>191</v>
      </c>
      <c r="B7" s="583">
        <f>B5-B6</f>
        <v>6725404.2699999809</v>
      </c>
      <c r="C7" s="584">
        <f>C5-C6</f>
        <v>10249</v>
      </c>
    </row>
    <row r="13" spans="1:5" ht="13" thickBot="1" x14ac:dyDescent="0.3"/>
    <row r="14" spans="1:5" ht="37.5" thickBot="1" x14ac:dyDescent="0.3">
      <c r="A14" s="346" t="s">
        <v>188</v>
      </c>
      <c r="B14" s="346" t="s">
        <v>215</v>
      </c>
      <c r="C14" s="351" t="s">
        <v>216</v>
      </c>
    </row>
    <row r="15" spans="1:5" ht="18.5" x14ac:dyDescent="0.25">
      <c r="A15" s="609" t="s">
        <v>192</v>
      </c>
      <c r="B15" s="610"/>
      <c r="C15" s="611"/>
    </row>
    <row r="16" spans="1:5" ht="15.5" x14ac:dyDescent="0.35">
      <c r="A16" s="565" t="s">
        <v>203</v>
      </c>
      <c r="B16" s="562">
        <v>0</v>
      </c>
      <c r="C16" s="566">
        <v>1059000</v>
      </c>
    </row>
    <row r="17" spans="1:3" ht="15.5" x14ac:dyDescent="0.35">
      <c r="A17" s="567" t="s">
        <v>195</v>
      </c>
      <c r="B17" s="563">
        <v>0</v>
      </c>
      <c r="C17" s="568">
        <v>231996</v>
      </c>
    </row>
    <row r="18" spans="1:3" ht="15.5" x14ac:dyDescent="0.35">
      <c r="A18" s="567" t="s">
        <v>204</v>
      </c>
      <c r="B18" s="563">
        <v>0</v>
      </c>
      <c r="C18" s="568">
        <v>806687</v>
      </c>
    </row>
    <row r="19" spans="1:3" ht="15.5" x14ac:dyDescent="0.35">
      <c r="A19" s="567" t="s">
        <v>205</v>
      </c>
      <c r="B19" s="563">
        <v>0</v>
      </c>
      <c r="C19" s="568">
        <v>1362</v>
      </c>
    </row>
    <row r="20" spans="1:3" ht="15.5" x14ac:dyDescent="0.35">
      <c r="A20" s="567" t="s">
        <v>150</v>
      </c>
      <c r="B20" s="563">
        <v>354</v>
      </c>
      <c r="C20" s="568">
        <v>0</v>
      </c>
    </row>
    <row r="21" spans="1:3" ht="16" thickBot="1" x14ac:dyDescent="0.4">
      <c r="A21" s="569" t="s">
        <v>74</v>
      </c>
      <c r="B21" s="570">
        <f>SUM(B16:B20)</f>
        <v>354</v>
      </c>
      <c r="C21" s="571">
        <f>SUM(C16:C20)</f>
        <v>2099045</v>
      </c>
    </row>
    <row r="22" spans="1:3" ht="13" thickBot="1" x14ac:dyDescent="0.3"/>
    <row r="23" spans="1:3" ht="37.5" thickBot="1" x14ac:dyDescent="0.3">
      <c r="A23" s="346" t="s">
        <v>188</v>
      </c>
      <c r="B23" s="346" t="s">
        <v>71</v>
      </c>
      <c r="C23" s="351" t="s">
        <v>200</v>
      </c>
    </row>
    <row r="24" spans="1:3" ht="18.5" x14ac:dyDescent="0.25">
      <c r="A24" s="609" t="s">
        <v>193</v>
      </c>
      <c r="B24" s="610"/>
      <c r="C24" s="611"/>
    </row>
    <row r="25" spans="1:3" ht="15.5" x14ac:dyDescent="0.25">
      <c r="A25" s="565" t="s">
        <v>194</v>
      </c>
      <c r="B25" s="564">
        <v>60000</v>
      </c>
      <c r="C25" s="572">
        <v>60000</v>
      </c>
    </row>
    <row r="26" spans="1:3" ht="31" x14ac:dyDescent="0.25">
      <c r="A26" s="565" t="s">
        <v>196</v>
      </c>
      <c r="B26" s="564">
        <v>529500</v>
      </c>
      <c r="C26" s="572">
        <v>529500</v>
      </c>
    </row>
    <row r="27" spans="1:3" ht="15.5" x14ac:dyDescent="0.25">
      <c r="A27" s="565" t="s">
        <v>197</v>
      </c>
      <c r="B27" s="564">
        <v>0</v>
      </c>
      <c r="C27" s="572">
        <v>0</v>
      </c>
    </row>
    <row r="28" spans="1:3" ht="16" thickBot="1" x14ac:dyDescent="0.35">
      <c r="A28" s="573" t="s">
        <v>74</v>
      </c>
      <c r="B28" s="574">
        <f>SUM(B25:B27)</f>
        <v>589500</v>
      </c>
      <c r="C28" s="575">
        <f>SUM(C25:C27)</f>
        <v>589500</v>
      </c>
    </row>
    <row r="35" spans="1:3" ht="13" thickBot="1" x14ac:dyDescent="0.3"/>
    <row r="36" spans="1:3" ht="37.5" thickBot="1" x14ac:dyDescent="0.3">
      <c r="A36" s="346" t="s">
        <v>188</v>
      </c>
      <c r="B36" s="346" t="s">
        <v>198</v>
      </c>
      <c r="C36" s="351" t="s">
        <v>199</v>
      </c>
    </row>
  </sheetData>
  <mergeCells count="2">
    <mergeCell ref="A15:C15"/>
    <mergeCell ref="A24:C24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workbookViewId="0">
      <selection activeCell="C12" sqref="C12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3" t="s">
        <v>141</v>
      </c>
      <c r="B1" s="54" t="s">
        <v>71</v>
      </c>
      <c r="C1" s="54" t="s">
        <v>72</v>
      </c>
    </row>
    <row r="2" spans="1:4" ht="24.75" customHeight="1" x14ac:dyDescent="0.25">
      <c r="A2" s="37" t="s">
        <v>142</v>
      </c>
      <c r="B2" s="35">
        <f>+'SP 2019'!B58</f>
        <v>1049207761</v>
      </c>
      <c r="C2" s="34">
        <f>+'SP 2019'!C58</f>
        <v>2526921</v>
      </c>
    </row>
    <row r="3" spans="1:4" ht="24.75" customHeight="1" x14ac:dyDescent="0.25">
      <c r="A3" s="38" t="s">
        <v>143</v>
      </c>
      <c r="B3" s="36">
        <f>+'SP 2019'!B64</f>
        <v>550242930.12</v>
      </c>
      <c r="C3" s="55">
        <f>+'SP 2019'!C64</f>
        <v>1661162</v>
      </c>
    </row>
    <row r="4" spans="1:4" ht="24.75" customHeight="1" x14ac:dyDescent="0.25">
      <c r="A4" s="38" t="s">
        <v>144</v>
      </c>
      <c r="B4" s="36">
        <f>+B2-B3</f>
        <v>498964830.88</v>
      </c>
      <c r="C4" s="36">
        <f>+C2-C3</f>
        <v>865759</v>
      </c>
    </row>
    <row r="5" spans="1:4" ht="24.75" customHeight="1" x14ac:dyDescent="0.25">
      <c r="A5" s="38" t="s">
        <v>145</v>
      </c>
      <c r="B5" s="36">
        <f>+'CE 2 2019'!B21+'CE 2 2019'!B54+'CE 2 2019'!B58+'CE 2 2019'!B61</f>
        <v>564814833</v>
      </c>
      <c r="C5" s="55">
        <f>+'CE 2 2019'!C21+'CE 2 2019'!C54</f>
        <v>1672064</v>
      </c>
      <c r="D5">
        <v>43875</v>
      </c>
    </row>
    <row r="6" spans="1:4" ht="24.75" customHeight="1" x14ac:dyDescent="0.25">
      <c r="A6" s="38" t="s">
        <v>147</v>
      </c>
      <c r="B6" s="36">
        <f>+'CE 2 2019'!B51-'CE 2 2019'!B55-'CE 2 2019'!B56-'CE 2 2019'!B62+'CE 2 2019'!B64</f>
        <v>536736234</v>
      </c>
      <c r="C6" s="55">
        <f>+'CE 2 2019'!C51-'CE 2 2019'!C55+'CE 2 2019'!C64</f>
        <v>1347963</v>
      </c>
    </row>
    <row r="7" spans="1:4" ht="24.75" customHeight="1" thickBot="1" x14ac:dyDescent="0.3">
      <c r="A7" s="39" t="s">
        <v>146</v>
      </c>
      <c r="B7" s="56">
        <f>+B5-B6</f>
        <v>28078599</v>
      </c>
      <c r="C7" s="57">
        <f>+C5-C6</f>
        <v>324101</v>
      </c>
      <c r="D7" s="115">
        <f>SUM(B7:C7)</f>
        <v>28402700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workbookViewId="0">
      <selection sqref="A1:XFD1048576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40" t="s">
        <v>141</v>
      </c>
      <c r="B1" s="341" t="s">
        <v>71</v>
      </c>
      <c r="C1" s="342" t="s">
        <v>72</v>
      </c>
    </row>
    <row r="2" spans="1:4" ht="24.75" customHeight="1" x14ac:dyDescent="0.25">
      <c r="A2" s="37" t="s">
        <v>142</v>
      </c>
      <c r="B2" s="35">
        <f>+'SP 2020'!B58</f>
        <v>1086434642.3800001</v>
      </c>
      <c r="C2" s="343">
        <f>+'SP 2020'!C58</f>
        <v>1845073</v>
      </c>
    </row>
    <row r="3" spans="1:4" ht="24.75" customHeight="1" x14ac:dyDescent="0.25">
      <c r="A3" s="38" t="s">
        <v>143</v>
      </c>
      <c r="B3" s="36">
        <f>+'SP 2020'!B64</f>
        <v>615135446.83000004</v>
      </c>
      <c r="C3" s="55">
        <f>+'SP 2020'!C64</f>
        <v>1404667</v>
      </c>
    </row>
    <row r="4" spans="1:4" ht="24.75" customHeight="1" x14ac:dyDescent="0.25">
      <c r="A4" s="38" t="s">
        <v>144</v>
      </c>
      <c r="B4" s="36">
        <f>+B2-B3</f>
        <v>471299195.55000007</v>
      </c>
      <c r="C4" s="344">
        <f>+C2-C3</f>
        <v>440406</v>
      </c>
    </row>
    <row r="5" spans="1:4" ht="24.75" customHeight="1" x14ac:dyDescent="0.25">
      <c r="A5" s="38" t="s">
        <v>145</v>
      </c>
      <c r="B5" s="36">
        <f>+'CE 2020'!B21+'CE 2020'!B54+'CE 2020'!B58+'CE 2020'!B61</f>
        <v>589651867.52999997</v>
      </c>
      <c r="C5" s="344">
        <f>+'CE 2020'!C21+'CE 2020'!C54+'CE 2020'!C58+'CE 2020'!C61</f>
        <v>592820</v>
      </c>
      <c r="D5">
        <v>43875</v>
      </c>
    </row>
    <row r="6" spans="1:4" ht="24.75" customHeight="1" x14ac:dyDescent="0.25">
      <c r="A6" s="38" t="s">
        <v>147</v>
      </c>
      <c r="B6" s="36">
        <f>+'CE 2020'!B51-'CE 2020'!B55-'CE 2020'!B56-'CE 2020'!B62+'CE 2020'!B64</f>
        <v>517775678.01999992</v>
      </c>
      <c r="C6" s="344">
        <f>+'CE 2020'!C51-'CE 2020'!C55-'CE 2020'!C56-'CE 2020'!C62+'CE 2020'!C64</f>
        <v>849315</v>
      </c>
    </row>
    <row r="7" spans="1:4" ht="24.75" customHeight="1" thickBot="1" x14ac:dyDescent="0.3">
      <c r="A7" s="39" t="s">
        <v>146</v>
      </c>
      <c r="B7" s="56">
        <f>+B5-B6</f>
        <v>71876189.51000005</v>
      </c>
      <c r="C7" s="57">
        <f>+C5-C6</f>
        <v>-256495</v>
      </c>
      <c r="D7" s="115">
        <f>SUM(B7:C7)</f>
        <v>71619694.51000005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71FA-265D-4D1E-BCE3-E3B6A2340C44}">
  <dimension ref="A1:D7"/>
  <sheetViews>
    <sheetView workbookViewId="0">
      <selection activeCell="C5" sqref="C5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40" t="s">
        <v>141</v>
      </c>
      <c r="B1" s="341" t="s">
        <v>71</v>
      </c>
      <c r="C1" s="342" t="s">
        <v>72</v>
      </c>
    </row>
    <row r="2" spans="1:4" ht="24.75" customHeight="1" x14ac:dyDescent="0.25">
      <c r="A2" s="37" t="s">
        <v>142</v>
      </c>
      <c r="B2" s="35">
        <f>+'SP 2021'!B58</f>
        <v>1110486471.5999999</v>
      </c>
      <c r="C2" s="343">
        <f>+'SP 2021'!C58</f>
        <v>2018072</v>
      </c>
    </row>
    <row r="3" spans="1:4" ht="24.75" customHeight="1" x14ac:dyDescent="0.25">
      <c r="A3" s="38" t="s">
        <v>143</v>
      </c>
      <c r="B3" s="36">
        <f>+'SP 2021'!B64</f>
        <v>638889324.61000013</v>
      </c>
      <c r="C3" s="55">
        <f>+'SP 2021'!C64</f>
        <v>1427526</v>
      </c>
    </row>
    <row r="4" spans="1:4" ht="24.75" customHeight="1" x14ac:dyDescent="0.25">
      <c r="A4" s="38" t="s">
        <v>144</v>
      </c>
      <c r="B4" s="36">
        <f>+B2-B3</f>
        <v>471597146.98999977</v>
      </c>
      <c r="C4" s="344">
        <f>+C2-C3</f>
        <v>590546</v>
      </c>
    </row>
    <row r="5" spans="1:4" ht="24.75" customHeight="1" x14ac:dyDescent="0.25">
      <c r="A5" s="38" t="s">
        <v>145</v>
      </c>
      <c r="B5" s="36">
        <f>+'CE 2021'!B21+'CE 2021'!B54+'CE 2021'!B58+'CE 2021'!B61</f>
        <v>597500257.37</v>
      </c>
      <c r="C5" s="344">
        <f>+'CE 2021'!C21+'CE 2021'!C54+'CE 2021'!C58+'CE 2021'!C61</f>
        <v>1302363</v>
      </c>
    </row>
    <row r="6" spans="1:4" ht="24.75" customHeight="1" x14ac:dyDescent="0.25">
      <c r="A6" s="38" t="s">
        <v>147</v>
      </c>
      <c r="B6" s="36">
        <f>+'CE 2021'!B51-'CE 2021'!B55-'CE 2021'!B56-'CE 2021'!B59-'CE 2021'!B62+'CE 2021'!B64</f>
        <v>563282960.14999998</v>
      </c>
      <c r="C6" s="344">
        <f>+'CE 2021'!C51-'CE 2021'!C55-'CE 2021'!C56-'CE 2021'!C62+'CE 2021'!C64</f>
        <v>1279504</v>
      </c>
    </row>
    <row r="7" spans="1:4" ht="24.75" customHeight="1" thickBot="1" x14ac:dyDescent="0.3">
      <c r="A7" s="39" t="s">
        <v>146</v>
      </c>
      <c r="B7" s="56">
        <f>+B5-B6</f>
        <v>34217297.220000029</v>
      </c>
      <c r="C7" s="57">
        <f>+C5-C6</f>
        <v>22859</v>
      </c>
      <c r="D7" s="115">
        <f>SUM(B7:C7)</f>
        <v>34240156.220000029</v>
      </c>
    </row>
  </sheetData>
  <pageMargins left="0.7" right="0.7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250F-1E4E-4518-AB17-334FF2AC0E2D}">
  <sheetPr>
    <tabColor rgb="FF00B050"/>
  </sheetPr>
  <dimension ref="A1:D7"/>
  <sheetViews>
    <sheetView workbookViewId="0">
      <selection activeCell="A4" sqref="A4:XFD4"/>
    </sheetView>
  </sheetViews>
  <sheetFormatPr defaultRowHeight="12.5" x14ac:dyDescent="0.25"/>
  <cols>
    <col min="1" max="1" width="33.453125" customWidth="1"/>
    <col min="2" max="3" width="26.81640625" style="58" customWidth="1"/>
    <col min="4" max="4" width="13.453125" customWidth="1"/>
  </cols>
  <sheetData>
    <row r="1" spans="1:4" ht="29.5" thickBot="1" x14ac:dyDescent="0.3">
      <c r="A1" s="340" t="s">
        <v>141</v>
      </c>
      <c r="B1" s="341" t="s">
        <v>71</v>
      </c>
      <c r="C1" s="342" t="s">
        <v>72</v>
      </c>
    </row>
    <row r="2" spans="1:4" ht="24.75" customHeight="1" x14ac:dyDescent="0.25">
      <c r="A2" s="37" t="s">
        <v>142</v>
      </c>
      <c r="B2" s="522">
        <f>+'SP 2024'!B30</f>
        <v>1360613196.3100002</v>
      </c>
      <c r="C2" s="523">
        <f>+'SP 2024'!C30</f>
        <v>1694973</v>
      </c>
      <c r="D2" s="524"/>
    </row>
    <row r="3" spans="1:4" ht="24.75" customHeight="1" x14ac:dyDescent="0.25">
      <c r="A3" s="38" t="s">
        <v>143</v>
      </c>
      <c r="B3" s="525">
        <f>+'SP 2024'!B35</f>
        <v>676764305.65999997</v>
      </c>
      <c r="C3" s="526">
        <f>+'SP 2024'!C35</f>
        <v>1006526</v>
      </c>
      <c r="D3" s="524"/>
    </row>
    <row r="4" spans="1:4" ht="24.75" customHeight="1" x14ac:dyDescent="0.25">
      <c r="A4" s="38" t="s">
        <v>144</v>
      </c>
      <c r="B4" s="525">
        <f>+B2-B3</f>
        <v>683848890.65000021</v>
      </c>
      <c r="C4" s="527">
        <f>+C2-C3</f>
        <v>688447</v>
      </c>
      <c r="D4" s="524"/>
    </row>
    <row r="5" spans="1:4" ht="24.75" customHeight="1" x14ac:dyDescent="0.25">
      <c r="A5" s="38" t="s">
        <v>145</v>
      </c>
      <c r="B5" s="525">
        <f>+'CE 2024'!B10+'CE 2024'!B22+'CE 2024'!B26+'CE 2024'!B29</f>
        <v>722716090.05999994</v>
      </c>
      <c r="C5" s="527">
        <f>+'CE 2024'!C10+'CE 2024'!C22+'CE 2024'!C26+'CE 2024'!C29</f>
        <v>2431406</v>
      </c>
      <c r="D5" s="524"/>
    </row>
    <row r="6" spans="1:4" ht="24.75" customHeight="1" x14ac:dyDescent="0.25">
      <c r="A6" s="38" t="s">
        <v>147</v>
      </c>
      <c r="B6" s="525">
        <f>+'CE 2024'!B19-'CE 2024'!B23-'CE 2024'!B24-'CE 2024'!B27-'CE 2024'!B30+'CE 2024'!B32</f>
        <v>715990685.78999996</v>
      </c>
      <c r="C6" s="527">
        <f>+'CE 2024'!C19-'CE 2024'!C23-'CE 2024'!C25-'CE 2024'!C30+'CE 2024'!C32</f>
        <v>2421157</v>
      </c>
      <c r="D6" s="524"/>
    </row>
    <row r="7" spans="1:4" ht="24.75" customHeight="1" thickBot="1" x14ac:dyDescent="0.3">
      <c r="A7" s="39" t="s">
        <v>146</v>
      </c>
      <c r="B7" s="528">
        <f>+B5-B6</f>
        <v>6725404.2699999809</v>
      </c>
      <c r="C7" s="529">
        <f>+C5-C6</f>
        <v>10249</v>
      </c>
      <c r="D7" s="530">
        <f>SUM(B7:C7)</f>
        <v>6735653.2699999809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"/>
  <sheetViews>
    <sheetView workbookViewId="0">
      <selection sqref="A1:XFD1048576"/>
    </sheetView>
  </sheetViews>
  <sheetFormatPr defaultRowHeight="12.5" x14ac:dyDescent="0.25"/>
  <cols>
    <col min="1" max="1" width="33.453125" customWidth="1"/>
    <col min="2" max="3" width="25.54296875" style="49" customWidth="1"/>
    <col min="4" max="4" width="22.1796875" customWidth="1"/>
  </cols>
  <sheetData>
    <row r="1" spans="1:4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4" ht="24.75" customHeight="1" x14ac:dyDescent="0.25">
      <c r="A2" s="37" t="s">
        <v>148</v>
      </c>
      <c r="B2" s="243"/>
      <c r="C2" s="243">
        <f>350000-350000+350000</f>
        <v>350000</v>
      </c>
      <c r="D2" s="62">
        <f>SUM(B2:C2)</f>
        <v>350000</v>
      </c>
    </row>
    <row r="3" spans="1:4" ht="43.5" x14ac:dyDescent="0.25">
      <c r="A3" s="38" t="s">
        <v>159</v>
      </c>
      <c r="B3" s="244"/>
      <c r="C3" s="244">
        <v>9895.35</v>
      </c>
      <c r="D3" s="63">
        <f>SUM(B3:C3)</f>
        <v>9895.35</v>
      </c>
    </row>
    <row r="4" spans="1:4" ht="24.75" customHeight="1" x14ac:dyDescent="0.25">
      <c r="A4" s="38" t="s">
        <v>149</v>
      </c>
      <c r="B4" s="245"/>
      <c r="C4" s="246">
        <v>147342.44</v>
      </c>
      <c r="D4" s="63">
        <f>SUM(B4:C4)</f>
        <v>147342.44</v>
      </c>
    </row>
    <row r="5" spans="1:4" ht="24.75" customHeight="1" thickBot="1" x14ac:dyDescent="0.3">
      <c r="A5" s="39" t="s">
        <v>150</v>
      </c>
      <c r="B5" s="247">
        <v>64281.440000000002</v>
      </c>
      <c r="C5" s="248"/>
      <c r="D5" s="64">
        <f>SUM(B5:C5)</f>
        <v>64281.440000000002</v>
      </c>
    </row>
    <row r="6" spans="1:4" ht="24.75" customHeight="1" thickBot="1" x14ac:dyDescent="0.3">
      <c r="A6" s="121" t="s">
        <v>151</v>
      </c>
      <c r="B6" s="122">
        <f>SUM(B2:B5)</f>
        <v>64281.440000000002</v>
      </c>
      <c r="C6" s="122">
        <f>SUM(C2:C5)</f>
        <v>507237.79</v>
      </c>
      <c r="D6" s="123">
        <f>SUM(B6:C6)</f>
        <v>571519.23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"/>
  <sheetViews>
    <sheetView workbookViewId="0">
      <selection sqref="A1:XFD1048576"/>
    </sheetView>
  </sheetViews>
  <sheetFormatPr defaultRowHeight="12.5" x14ac:dyDescent="0.25"/>
  <cols>
    <col min="1" max="1" width="33.453125" customWidth="1"/>
    <col min="2" max="3" width="25.54296875" style="49" customWidth="1"/>
    <col min="4" max="4" width="22.1796875" customWidth="1"/>
  </cols>
  <sheetData>
    <row r="1" spans="1:4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4" ht="24.75" customHeight="1" x14ac:dyDescent="0.25">
      <c r="A2" s="37" t="s">
        <v>148</v>
      </c>
      <c r="B2" s="334"/>
      <c r="C2" s="335">
        <f>233333.33+52272.22</f>
        <v>285605.55</v>
      </c>
      <c r="D2" s="336">
        <f>SUM(B2:C2)</f>
        <v>285605.55</v>
      </c>
    </row>
    <row r="3" spans="1:4" ht="43.5" x14ac:dyDescent="0.25">
      <c r="A3" s="38" t="s">
        <v>159</v>
      </c>
      <c r="B3" s="245"/>
      <c r="C3" s="246">
        <f>19393.38+39655.4+24441.96</f>
        <v>83490.739999999991</v>
      </c>
      <c r="D3" s="337">
        <f>SUM(B3:C3)</f>
        <v>83490.739999999991</v>
      </c>
    </row>
    <row r="4" spans="1:4" ht="24.75" customHeight="1" x14ac:dyDescent="0.25">
      <c r="A4" s="38" t="s">
        <v>149</v>
      </c>
      <c r="B4" s="245"/>
      <c r="C4" s="246">
        <f>3017.52+23154.4+17995.71+27641.58+20466.04+5807.67+4887.54+3892.85+8620.49+8083.29</f>
        <v>123567.09</v>
      </c>
      <c r="D4" s="337">
        <f>SUM(B4:C4)</f>
        <v>123567.09</v>
      </c>
    </row>
    <row r="5" spans="1:4" ht="24.75" customHeight="1" thickBot="1" x14ac:dyDescent="0.3">
      <c r="A5" s="39" t="s">
        <v>150</v>
      </c>
      <c r="B5" s="247">
        <v>14165.79</v>
      </c>
      <c r="C5" s="247"/>
      <c r="D5" s="338">
        <f>SUM(B5:C5)</f>
        <v>14165.79</v>
      </c>
    </row>
    <row r="6" spans="1:4" ht="24.75" customHeight="1" thickBot="1" x14ac:dyDescent="0.3">
      <c r="A6" s="121" t="s">
        <v>151</v>
      </c>
      <c r="B6" s="122">
        <f>SUM(B2:B5)</f>
        <v>14165.79</v>
      </c>
      <c r="C6" s="122">
        <f>SUM(C2:C5)</f>
        <v>492663.38</v>
      </c>
      <c r="D6" s="123">
        <f>SUM(B6:C6)</f>
        <v>506829.17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F4B7-2A9D-4D2A-9E79-D0C2FF8E1CAB}">
  <dimension ref="A1:D6"/>
  <sheetViews>
    <sheetView workbookViewId="0">
      <selection activeCell="D15" sqref="D15"/>
    </sheetView>
  </sheetViews>
  <sheetFormatPr defaultRowHeight="12.5" x14ac:dyDescent="0.25"/>
  <cols>
    <col min="1" max="1" width="38.81640625" customWidth="1"/>
    <col min="2" max="3" width="25.54296875" style="49" customWidth="1"/>
    <col min="4" max="4" width="22.1796875" customWidth="1"/>
  </cols>
  <sheetData>
    <row r="1" spans="1:4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4" ht="40.5" customHeight="1" x14ac:dyDescent="0.25">
      <c r="A2" s="37" t="s">
        <v>173</v>
      </c>
      <c r="B2" s="334"/>
      <c r="C2" s="335">
        <f>65000+15000+113500+305000+65000+113500+305000</f>
        <v>982000</v>
      </c>
      <c r="D2" s="336">
        <f>SUM(B2:C2)</f>
        <v>982000</v>
      </c>
    </row>
    <row r="3" spans="1:4" ht="40.5" customHeight="1" x14ac:dyDescent="0.25">
      <c r="A3" s="38" t="s">
        <v>174</v>
      </c>
      <c r="B3" s="245"/>
      <c r="C3" s="246">
        <f>21286.11+73555.45</f>
        <v>94841.56</v>
      </c>
      <c r="D3" s="337">
        <f>SUM(B3:C3)</f>
        <v>94841.56</v>
      </c>
    </row>
    <row r="4" spans="1:4" ht="40.5" customHeight="1" x14ac:dyDescent="0.25">
      <c r="A4" s="38" t="s">
        <v>175</v>
      </c>
      <c r="B4" s="245"/>
      <c r="C4" s="246">
        <f>3907.38+5000</f>
        <v>8907.380000000001</v>
      </c>
      <c r="D4" s="337">
        <f>SUM(B4:C4)</f>
        <v>8907.380000000001</v>
      </c>
    </row>
    <row r="5" spans="1:4" ht="40.5" customHeight="1" thickBot="1" x14ac:dyDescent="0.3">
      <c r="A5" s="39" t="s">
        <v>150</v>
      </c>
      <c r="B5" s="247">
        <f>10094.83+2000</f>
        <v>12094.83</v>
      </c>
      <c r="C5" s="247"/>
      <c r="D5" s="338">
        <f>SUM(B5:C5)</f>
        <v>12094.83</v>
      </c>
    </row>
    <row r="6" spans="1:4" ht="24.75" customHeight="1" thickBot="1" x14ac:dyDescent="0.3">
      <c r="A6" s="121" t="s">
        <v>151</v>
      </c>
      <c r="B6" s="122">
        <f>SUM(B2:B5)</f>
        <v>12094.83</v>
      </c>
      <c r="C6" s="122">
        <f>SUM(C2:C5)</f>
        <v>1085748.94</v>
      </c>
      <c r="D6" s="123">
        <f>SUM(B6:C6)</f>
        <v>1097843.77</v>
      </c>
    </row>
  </sheetData>
  <pageMargins left="0.7" right="0.7" top="0.75" bottom="0.75" header="0.3" footer="0.3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3E1E-B47E-401B-8A06-8DB3D02BD832}">
  <sheetPr>
    <tabColor rgb="FF00B050"/>
  </sheetPr>
  <dimension ref="A1:K13"/>
  <sheetViews>
    <sheetView workbookViewId="0">
      <selection sqref="A1:D6"/>
    </sheetView>
  </sheetViews>
  <sheetFormatPr defaultRowHeight="12.5" x14ac:dyDescent="0.25"/>
  <cols>
    <col min="1" max="1" width="38.81640625" customWidth="1"/>
    <col min="2" max="3" width="25.54296875" style="49" customWidth="1"/>
    <col min="4" max="4" width="22.1796875" customWidth="1"/>
    <col min="6" max="7" width="9.1796875" style="532"/>
    <col min="8" max="8" width="17.54296875" style="543" customWidth="1"/>
    <col min="9" max="11" width="9.1796875" style="532"/>
  </cols>
  <sheetData>
    <row r="1" spans="1:11" ht="31.5" thickBot="1" x14ac:dyDescent="0.3">
      <c r="A1" s="59" t="s">
        <v>141</v>
      </c>
      <c r="B1" s="60" t="s">
        <v>152</v>
      </c>
      <c r="C1" s="60" t="s">
        <v>153</v>
      </c>
      <c r="D1" s="61" t="s">
        <v>74</v>
      </c>
    </row>
    <row r="2" spans="1:11" s="524" customFormat="1" ht="40.5" customHeight="1" x14ac:dyDescent="0.25">
      <c r="A2" s="539" t="s">
        <v>176</v>
      </c>
      <c r="B2" s="334"/>
      <c r="C2" s="335">
        <f>580000+578800+8000</f>
        <v>1166800</v>
      </c>
      <c r="D2" s="540">
        <f>SUM(B2:C2)</f>
        <v>1166800</v>
      </c>
      <c r="F2" s="541" t="s">
        <v>177</v>
      </c>
      <c r="G2" s="538"/>
      <c r="H2" s="544"/>
      <c r="I2" s="538"/>
      <c r="J2" s="538"/>
      <c r="K2" s="538"/>
    </row>
    <row r="3" spans="1:11" ht="40.5" customHeight="1" x14ac:dyDescent="0.25">
      <c r="A3" s="38" t="s">
        <v>186</v>
      </c>
      <c r="B3" s="245"/>
      <c r="C3" s="246">
        <v>65000</v>
      </c>
      <c r="D3" s="550">
        <f>SUM(B3:C3)</f>
        <v>65000</v>
      </c>
      <c r="F3" s="533" t="s">
        <v>178</v>
      </c>
      <c r="G3" s="552" t="s">
        <v>185</v>
      </c>
      <c r="H3" s="551">
        <v>65000</v>
      </c>
    </row>
    <row r="4" spans="1:11" s="524" customFormat="1" ht="40.5" customHeight="1" x14ac:dyDescent="0.25">
      <c r="A4" s="549" t="s">
        <v>175</v>
      </c>
      <c r="B4" s="245"/>
      <c r="C4" s="246">
        <f>+H4</f>
        <v>27626.28</v>
      </c>
      <c r="D4" s="550">
        <f>SUM(B4:C4)</f>
        <v>27626.28</v>
      </c>
      <c r="F4" s="538"/>
      <c r="G4" s="542" t="s">
        <v>183</v>
      </c>
      <c r="H4" s="545">
        <v>27626.28</v>
      </c>
      <c r="I4" s="538"/>
      <c r="J4" s="538"/>
      <c r="K4" s="538"/>
    </row>
    <row r="5" spans="1:11" s="524" customFormat="1" ht="40.5" customHeight="1" thickBot="1" x14ac:dyDescent="0.3">
      <c r="A5" s="536" t="s">
        <v>150</v>
      </c>
      <c r="B5" s="247">
        <f>+B13</f>
        <v>3767.3399999999997</v>
      </c>
      <c r="C5" s="247"/>
      <c r="D5" s="537">
        <f>SUM(B5:C5)</f>
        <v>3767.3399999999997</v>
      </c>
      <c r="F5" s="538"/>
      <c r="G5" s="538"/>
      <c r="H5" s="544"/>
      <c r="I5" s="538"/>
      <c r="J5" s="538"/>
      <c r="K5" s="538"/>
    </row>
    <row r="6" spans="1:11" ht="24.75" customHeight="1" thickBot="1" x14ac:dyDescent="0.3">
      <c r="A6" s="121" t="s">
        <v>151</v>
      </c>
      <c r="B6" s="122">
        <f>SUM(B2:B5)</f>
        <v>3767.3399999999997</v>
      </c>
      <c r="C6" s="122">
        <f>SUM(C2:C5)</f>
        <v>1259426.28</v>
      </c>
      <c r="D6" s="123">
        <f>SUM(B6:C6)</f>
        <v>1263193.6200000001</v>
      </c>
    </row>
    <row r="9" spans="1:11" x14ac:dyDescent="0.25">
      <c r="A9" s="531" t="s">
        <v>179</v>
      </c>
    </row>
    <row r="10" spans="1:11" x14ac:dyDescent="0.25">
      <c r="A10" s="535" t="s">
        <v>180</v>
      </c>
      <c r="B10" s="534">
        <v>2000</v>
      </c>
    </row>
    <row r="11" spans="1:11" x14ac:dyDescent="0.25">
      <c r="A11" t="s">
        <v>181</v>
      </c>
      <c r="B11" s="546">
        <v>1171.2</v>
      </c>
    </row>
    <row r="12" spans="1:11" ht="14" x14ac:dyDescent="0.4">
      <c r="A12" s="531" t="s">
        <v>184</v>
      </c>
      <c r="B12" s="547">
        <v>596.14</v>
      </c>
    </row>
    <row r="13" spans="1:11" x14ac:dyDescent="0.25">
      <c r="A13" s="531" t="s">
        <v>182</v>
      </c>
      <c r="B13" s="548">
        <f>SUM(B10:B12)</f>
        <v>3767.3399999999997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6"/>
  <sheetViews>
    <sheetView showGridLines="0" topLeftCell="A55" zoomScale="89" zoomScaleNormal="89" zoomScaleSheetLayoutView="82" workbookViewId="0">
      <selection activeCell="B64" sqref="B64"/>
    </sheetView>
  </sheetViews>
  <sheetFormatPr defaultColWidth="9.1796875" defaultRowHeight="15.5" x14ac:dyDescent="0.25"/>
  <cols>
    <col min="1" max="1" width="68" style="8" customWidth="1"/>
    <col min="2" max="2" width="17.7265625" style="8" customWidth="1"/>
    <col min="3" max="3" width="18.26953125" style="8" customWidth="1"/>
    <col min="4" max="4" width="21" style="9" customWidth="1"/>
    <col min="5" max="6" width="19.1796875" style="10" customWidth="1"/>
    <col min="7" max="8" width="19.453125" style="9" customWidth="1"/>
    <col min="9" max="9" width="16" style="8" bestFit="1" customWidth="1"/>
    <col min="10" max="10" width="15.81640625" style="8" bestFit="1" customWidth="1"/>
    <col min="11" max="11" width="13.26953125" style="8" customWidth="1"/>
    <col min="12" max="12" width="16" style="8" bestFit="1" customWidth="1"/>
    <col min="13" max="16384" width="9.1796875" style="8"/>
  </cols>
  <sheetData>
    <row r="1" spans="1:12" s="17" customFormat="1" ht="33.75" customHeight="1" thickBot="1" x14ac:dyDescent="0.3">
      <c r="A1" s="597" t="s">
        <v>140</v>
      </c>
      <c r="B1" s="598"/>
      <c r="C1" s="598"/>
      <c r="D1" s="598"/>
      <c r="E1" s="598"/>
      <c r="F1" s="598"/>
      <c r="G1" s="598"/>
      <c r="H1" s="598"/>
    </row>
    <row r="2" spans="1:12" ht="31.5" thickBot="1" x14ac:dyDescent="0.3">
      <c r="A2" s="29" t="s">
        <v>58</v>
      </c>
      <c r="B2" s="29" t="s">
        <v>71</v>
      </c>
      <c r="C2" s="198" t="s">
        <v>72</v>
      </c>
      <c r="D2" s="152" t="s">
        <v>73</v>
      </c>
      <c r="E2" s="133" t="s">
        <v>157</v>
      </c>
      <c r="F2" s="133" t="s">
        <v>158</v>
      </c>
      <c r="G2" s="152" t="s">
        <v>161</v>
      </c>
      <c r="H2" s="152" t="s">
        <v>154</v>
      </c>
    </row>
    <row r="3" spans="1:12" ht="18" customHeight="1" x14ac:dyDescent="0.25">
      <c r="A3" s="70"/>
      <c r="B3" s="70"/>
      <c r="C3" s="213"/>
      <c r="D3" s="153"/>
      <c r="E3" s="16"/>
      <c r="F3" s="16"/>
      <c r="G3" s="153"/>
      <c r="H3" s="153"/>
    </row>
    <row r="4" spans="1:12" ht="18" customHeight="1" x14ac:dyDescent="0.25">
      <c r="A4" s="72" t="s">
        <v>0</v>
      </c>
      <c r="B4" s="135">
        <f>B6+B14+B24</f>
        <v>312976320</v>
      </c>
      <c r="C4" s="214">
        <f>C6+C14+C24</f>
        <v>199869</v>
      </c>
      <c r="D4" s="154">
        <f>+B4+C4</f>
        <v>313176189</v>
      </c>
      <c r="E4" s="28"/>
      <c r="F4" s="28"/>
      <c r="G4" s="154">
        <f>G6+G14+G24</f>
        <v>313116189</v>
      </c>
      <c r="H4" s="154">
        <v>308138978.63</v>
      </c>
    </row>
    <row r="5" spans="1:12" ht="18" customHeight="1" x14ac:dyDescent="0.25">
      <c r="A5" s="74"/>
      <c r="B5" s="136"/>
      <c r="C5" s="215"/>
      <c r="D5" s="155"/>
      <c r="E5" s="16"/>
      <c r="F5" s="16"/>
      <c r="G5" s="164">
        <f t="shared" ref="G5:G23" si="0">+D5+E5-F5</f>
        <v>0</v>
      </c>
      <c r="H5" s="164">
        <v>0</v>
      </c>
    </row>
    <row r="6" spans="1:12" ht="18" customHeight="1" x14ac:dyDescent="0.25">
      <c r="A6" s="76" t="s">
        <v>1</v>
      </c>
      <c r="B6" s="137">
        <f>B8+B9+B10+B11+B12</f>
        <v>6316186</v>
      </c>
      <c r="C6" s="216">
        <v>7200</v>
      </c>
      <c r="D6" s="156">
        <f>+B6+C6</f>
        <v>6323386</v>
      </c>
      <c r="E6" s="22"/>
      <c r="F6" s="22"/>
      <c r="G6" s="156">
        <f t="shared" si="0"/>
        <v>6323386</v>
      </c>
      <c r="H6" s="156">
        <v>1292863.48</v>
      </c>
    </row>
    <row r="7" spans="1:12" ht="18" customHeight="1" x14ac:dyDescent="0.25">
      <c r="A7" s="74"/>
      <c r="B7" s="136"/>
      <c r="C7" s="215"/>
      <c r="D7" s="155"/>
      <c r="E7" s="16"/>
      <c r="F7" s="16"/>
      <c r="G7" s="164">
        <f t="shared" si="0"/>
        <v>0</v>
      </c>
      <c r="H7" s="164">
        <v>0</v>
      </c>
    </row>
    <row r="8" spans="1:12" ht="18" hidden="1" customHeight="1" x14ac:dyDescent="0.25">
      <c r="A8" s="74" t="s">
        <v>2</v>
      </c>
      <c r="B8" s="138">
        <v>0</v>
      </c>
      <c r="C8" s="217">
        <v>0</v>
      </c>
      <c r="D8" s="155">
        <f t="shared" ref="D8:D59" si="1">+B8+C8</f>
        <v>0</v>
      </c>
      <c r="E8" s="16"/>
      <c r="F8" s="16"/>
      <c r="G8" s="164">
        <f t="shared" si="0"/>
        <v>0</v>
      </c>
      <c r="H8" s="164">
        <v>0</v>
      </c>
    </row>
    <row r="9" spans="1:12" ht="18" hidden="1" customHeight="1" x14ac:dyDescent="0.25">
      <c r="A9" s="74" t="s">
        <v>3</v>
      </c>
      <c r="B9" s="138">
        <v>798141</v>
      </c>
      <c r="C9" s="217">
        <v>0</v>
      </c>
      <c r="D9" s="155">
        <f t="shared" si="1"/>
        <v>798141</v>
      </c>
      <c r="E9" s="16"/>
      <c r="F9" s="16"/>
      <c r="G9" s="164">
        <f t="shared" si="0"/>
        <v>798141</v>
      </c>
      <c r="H9" s="164">
        <v>596076.77</v>
      </c>
    </row>
    <row r="10" spans="1:12" ht="18" hidden="1" customHeight="1" x14ac:dyDescent="0.25">
      <c r="A10" s="74" t="s">
        <v>4</v>
      </c>
      <c r="B10" s="138">
        <v>107439</v>
      </c>
      <c r="C10" s="217">
        <v>0</v>
      </c>
      <c r="D10" s="155">
        <f t="shared" si="1"/>
        <v>107439</v>
      </c>
      <c r="E10" s="16"/>
      <c r="F10" s="16"/>
      <c r="G10" s="164">
        <f t="shared" si="0"/>
        <v>107439</v>
      </c>
      <c r="H10" s="164">
        <v>125599.31</v>
      </c>
      <c r="L10" s="12"/>
    </row>
    <row r="11" spans="1:12" ht="18" hidden="1" customHeight="1" x14ac:dyDescent="0.25">
      <c r="A11" s="74" t="s">
        <v>5</v>
      </c>
      <c r="B11" s="138">
        <v>4913292</v>
      </c>
      <c r="C11" s="217">
        <v>0</v>
      </c>
      <c r="D11" s="155">
        <f t="shared" si="1"/>
        <v>4913292</v>
      </c>
      <c r="E11" s="16"/>
      <c r="F11" s="16"/>
      <c r="G11" s="164">
        <f t="shared" si="0"/>
        <v>4913292</v>
      </c>
      <c r="H11" s="164">
        <v>0</v>
      </c>
      <c r="I11" s="12"/>
    </row>
    <row r="12" spans="1:12" ht="18" hidden="1" customHeight="1" x14ac:dyDescent="0.25">
      <c r="A12" s="74" t="s">
        <v>6</v>
      </c>
      <c r="B12" s="138">
        <v>497314</v>
      </c>
      <c r="C12" s="217">
        <v>0</v>
      </c>
      <c r="D12" s="155">
        <f t="shared" si="1"/>
        <v>497314</v>
      </c>
      <c r="E12" s="16"/>
      <c r="F12" s="16"/>
      <c r="G12" s="164">
        <f t="shared" si="0"/>
        <v>497314</v>
      </c>
      <c r="H12" s="164">
        <v>562700.4</v>
      </c>
    </row>
    <row r="13" spans="1:12" ht="18" hidden="1" customHeight="1" x14ac:dyDescent="0.25">
      <c r="A13" s="78"/>
      <c r="B13" s="79"/>
      <c r="C13" s="218"/>
      <c r="D13" s="155">
        <f t="shared" si="1"/>
        <v>0</v>
      </c>
      <c r="E13" s="16"/>
      <c r="F13" s="16"/>
      <c r="G13" s="164">
        <f t="shared" si="0"/>
        <v>0</v>
      </c>
      <c r="H13" s="164">
        <v>0</v>
      </c>
    </row>
    <row r="14" spans="1:12" ht="18" customHeight="1" x14ac:dyDescent="0.25">
      <c r="A14" s="76" t="s">
        <v>7</v>
      </c>
      <c r="B14" s="137">
        <f>B16+B17+B18+B19+B20+B21+B22</f>
        <v>306177405</v>
      </c>
      <c r="C14" s="216">
        <v>92215</v>
      </c>
      <c r="D14" s="156">
        <f t="shared" si="1"/>
        <v>306269620</v>
      </c>
      <c r="E14" s="22"/>
      <c r="F14" s="22"/>
      <c r="G14" s="156">
        <f t="shared" si="0"/>
        <v>306269620</v>
      </c>
      <c r="H14" s="156">
        <v>306294692</v>
      </c>
    </row>
    <row r="15" spans="1:12" ht="18" customHeight="1" x14ac:dyDescent="0.25">
      <c r="A15" s="74"/>
      <c r="B15" s="136"/>
      <c r="C15" s="215"/>
      <c r="D15" s="155"/>
      <c r="E15" s="16"/>
      <c r="F15" s="16"/>
      <c r="G15" s="164">
        <f t="shared" si="0"/>
        <v>0</v>
      </c>
      <c r="H15" s="164">
        <v>0</v>
      </c>
    </row>
    <row r="16" spans="1:12" ht="18" hidden="1" customHeight="1" x14ac:dyDescent="0.25">
      <c r="A16" s="74" t="s">
        <v>8</v>
      </c>
      <c r="B16" s="138">
        <v>161188664</v>
      </c>
      <c r="C16" s="217">
        <v>0</v>
      </c>
      <c r="D16" s="155">
        <f t="shared" si="1"/>
        <v>161188664</v>
      </c>
      <c r="E16" s="16"/>
      <c r="F16" s="16"/>
      <c r="G16" s="164">
        <f t="shared" si="0"/>
        <v>161188664</v>
      </c>
      <c r="H16" s="164">
        <v>165241506.40000001</v>
      </c>
    </row>
    <row r="17" spans="1:8" ht="18" hidden="1" customHeight="1" x14ac:dyDescent="0.25">
      <c r="A17" s="74" t="s">
        <v>9</v>
      </c>
      <c r="B17" s="138">
        <v>9162513</v>
      </c>
      <c r="C17" s="217">
        <v>0</v>
      </c>
      <c r="D17" s="155">
        <f t="shared" si="1"/>
        <v>9162513</v>
      </c>
      <c r="E17" s="16"/>
      <c r="F17" s="16"/>
      <c r="G17" s="164">
        <f t="shared" si="0"/>
        <v>9162513</v>
      </c>
      <c r="H17" s="164">
        <v>7931024.6500000004</v>
      </c>
    </row>
    <row r="18" spans="1:8" ht="18" hidden="1" customHeight="1" x14ac:dyDescent="0.25">
      <c r="A18" s="74" t="s">
        <v>10</v>
      </c>
      <c r="B18" s="138">
        <v>19204439</v>
      </c>
      <c r="C18" s="217">
        <v>0</v>
      </c>
      <c r="D18" s="155">
        <f t="shared" si="1"/>
        <v>19204439</v>
      </c>
      <c r="E18" s="16"/>
      <c r="F18" s="16"/>
      <c r="G18" s="164">
        <f t="shared" si="0"/>
        <v>19204439</v>
      </c>
      <c r="H18" s="164">
        <v>19482058.66</v>
      </c>
    </row>
    <row r="19" spans="1:8" ht="18" hidden="1" customHeight="1" x14ac:dyDescent="0.25">
      <c r="A19" s="74" t="s">
        <v>11</v>
      </c>
      <c r="B19" s="138">
        <v>33864967</v>
      </c>
      <c r="C19" s="217">
        <v>0</v>
      </c>
      <c r="D19" s="155">
        <f t="shared" si="1"/>
        <v>33864967</v>
      </c>
      <c r="E19" s="16"/>
      <c r="F19" s="16"/>
      <c r="G19" s="164">
        <f t="shared" si="0"/>
        <v>33864967</v>
      </c>
      <c r="H19" s="164">
        <v>33426249.41</v>
      </c>
    </row>
    <row r="20" spans="1:8" ht="18" hidden="1" customHeight="1" x14ac:dyDescent="0.25">
      <c r="A20" s="74" t="s">
        <v>12</v>
      </c>
      <c r="B20" s="138">
        <v>4887846</v>
      </c>
      <c r="C20" s="217">
        <v>0</v>
      </c>
      <c r="D20" s="155">
        <f t="shared" si="1"/>
        <v>4887846</v>
      </c>
      <c r="E20" s="16"/>
      <c r="F20" s="16"/>
      <c r="G20" s="164">
        <f t="shared" si="0"/>
        <v>4887846</v>
      </c>
      <c r="H20" s="164">
        <v>4498994.55</v>
      </c>
    </row>
    <row r="21" spans="1:8" ht="18" hidden="1" customHeight="1" x14ac:dyDescent="0.25">
      <c r="A21" s="74" t="s">
        <v>13</v>
      </c>
      <c r="B21" s="138">
        <v>77732894</v>
      </c>
      <c r="C21" s="217">
        <v>0</v>
      </c>
      <c r="D21" s="155">
        <f t="shared" si="1"/>
        <v>77732894</v>
      </c>
      <c r="E21" s="16"/>
      <c r="F21" s="16"/>
      <c r="G21" s="164">
        <f t="shared" si="0"/>
        <v>77732894</v>
      </c>
      <c r="H21" s="164">
        <v>75408657.090000004</v>
      </c>
    </row>
    <row r="22" spans="1:8" ht="18" hidden="1" customHeight="1" x14ac:dyDescent="0.25">
      <c r="A22" s="74" t="s">
        <v>14</v>
      </c>
      <c r="B22" s="138">
        <v>136082</v>
      </c>
      <c r="C22" s="217">
        <v>0</v>
      </c>
      <c r="D22" s="155">
        <f t="shared" si="1"/>
        <v>136082</v>
      </c>
      <c r="E22" s="16"/>
      <c r="F22" s="16"/>
      <c r="G22" s="164">
        <f t="shared" si="0"/>
        <v>136082</v>
      </c>
      <c r="H22" s="164">
        <v>195366.24</v>
      </c>
    </row>
    <row r="23" spans="1:8" ht="18" hidden="1" customHeight="1" x14ac:dyDescent="0.25">
      <c r="A23" s="78"/>
      <c r="B23" s="79"/>
      <c r="C23" s="218"/>
      <c r="D23" s="155">
        <f t="shared" si="1"/>
        <v>0</v>
      </c>
      <c r="E23" s="16"/>
      <c r="F23" s="16"/>
      <c r="G23" s="164">
        <f t="shared" si="0"/>
        <v>0</v>
      </c>
      <c r="H23" s="164">
        <v>0</v>
      </c>
    </row>
    <row r="24" spans="1:8" ht="18" customHeight="1" x14ac:dyDescent="0.25">
      <c r="A24" s="76" t="s">
        <v>15</v>
      </c>
      <c r="B24" s="139">
        <v>482729</v>
      </c>
      <c r="C24" s="219">
        <v>100454</v>
      </c>
      <c r="D24" s="156">
        <f t="shared" si="1"/>
        <v>583183</v>
      </c>
      <c r="E24" s="167">
        <v>60000</v>
      </c>
      <c r="F24" s="167"/>
      <c r="G24" s="156">
        <f>+D24-E24-F24</f>
        <v>523183</v>
      </c>
      <c r="H24" s="156">
        <v>551423.15</v>
      </c>
    </row>
    <row r="25" spans="1:8" ht="18" customHeight="1" x14ac:dyDescent="0.25">
      <c r="A25" s="74"/>
      <c r="B25" s="138"/>
      <c r="C25" s="217"/>
      <c r="D25" s="155">
        <f t="shared" si="1"/>
        <v>0</v>
      </c>
      <c r="E25" s="16"/>
      <c r="F25" s="16"/>
      <c r="G25" s="164">
        <f>+D25+E25-F25</f>
        <v>0</v>
      </c>
      <c r="H25" s="164">
        <v>0</v>
      </c>
    </row>
    <row r="26" spans="1:8" ht="18" hidden="1" customHeight="1" x14ac:dyDescent="0.25">
      <c r="A26" s="78"/>
      <c r="B26" s="79"/>
      <c r="C26" s="218"/>
      <c r="D26" s="155"/>
      <c r="E26" s="16"/>
      <c r="F26" s="16"/>
      <c r="G26" s="164">
        <f>+D26+E26-F26</f>
        <v>0</v>
      </c>
      <c r="H26" s="164">
        <v>0</v>
      </c>
    </row>
    <row r="27" spans="1:8" ht="18" customHeight="1" x14ac:dyDescent="0.25">
      <c r="A27" s="72" t="s">
        <v>52</v>
      </c>
      <c r="B27" s="135">
        <f>B29+B31+B43+B45</f>
        <v>722331742</v>
      </c>
      <c r="C27" s="214">
        <f>C29+C31+C43+C45</f>
        <v>2107177</v>
      </c>
      <c r="D27" s="154">
        <f t="shared" si="1"/>
        <v>724438919</v>
      </c>
      <c r="E27" s="28"/>
      <c r="F27" s="28"/>
      <c r="G27" s="154">
        <f>G28+G29+G31+G45</f>
        <v>723867400</v>
      </c>
      <c r="H27" s="154">
        <v>608484630.73000002</v>
      </c>
    </row>
    <row r="28" spans="1:8" ht="18" customHeight="1" x14ac:dyDescent="0.25">
      <c r="A28" s="79"/>
      <c r="B28" s="140"/>
      <c r="C28" s="220"/>
      <c r="D28" s="155"/>
      <c r="E28" s="16"/>
      <c r="F28" s="16"/>
      <c r="G28" s="155">
        <f>+D28+E28-F28</f>
        <v>0</v>
      </c>
      <c r="H28" s="155">
        <v>0</v>
      </c>
    </row>
    <row r="29" spans="1:8" ht="18" customHeight="1" x14ac:dyDescent="0.25">
      <c r="A29" s="76" t="s">
        <v>53</v>
      </c>
      <c r="B29" s="139">
        <v>214711</v>
      </c>
      <c r="C29" s="219">
        <v>0</v>
      </c>
      <c r="D29" s="156">
        <f t="shared" si="1"/>
        <v>214711</v>
      </c>
      <c r="E29" s="22"/>
      <c r="F29" s="22"/>
      <c r="G29" s="156">
        <f>+D29+E29-F29</f>
        <v>214711</v>
      </c>
      <c r="H29" s="156">
        <v>22720.42</v>
      </c>
    </row>
    <row r="30" spans="1:8" ht="18" customHeight="1" x14ac:dyDescent="0.25">
      <c r="A30" s="74"/>
      <c r="B30" s="138"/>
      <c r="C30" s="217"/>
      <c r="D30" s="155"/>
      <c r="E30" s="16"/>
      <c r="F30" s="16"/>
      <c r="G30" s="164">
        <f>+D30+E30-F30</f>
        <v>0</v>
      </c>
      <c r="H30" s="164">
        <v>0</v>
      </c>
    </row>
    <row r="31" spans="1:8" ht="18" customHeight="1" x14ac:dyDescent="0.25">
      <c r="A31" s="76" t="s">
        <v>60</v>
      </c>
      <c r="B31" s="137">
        <f>B33+B34+B35+B36+B37+B38+B39+B40+B41</f>
        <v>263158366</v>
      </c>
      <c r="C31" s="216">
        <v>1144559</v>
      </c>
      <c r="D31" s="156">
        <f t="shared" si="1"/>
        <v>264302925</v>
      </c>
      <c r="E31" s="167">
        <v>64281</v>
      </c>
      <c r="F31" s="167">
        <v>507238</v>
      </c>
      <c r="G31" s="156">
        <f>+D31-E31-F31</f>
        <v>263731406</v>
      </c>
      <c r="H31" s="156">
        <v>228943227.95999998</v>
      </c>
    </row>
    <row r="32" spans="1:8" ht="18" customHeight="1" x14ac:dyDescent="0.25">
      <c r="A32" s="74"/>
      <c r="B32" s="136"/>
      <c r="C32" s="215"/>
      <c r="D32" s="155"/>
      <c r="E32" s="16"/>
      <c r="F32" s="16"/>
      <c r="G32" s="164">
        <f t="shared" ref="G32:G57" si="2">+D32+E32-F32</f>
        <v>0</v>
      </c>
      <c r="H32" s="164">
        <v>0</v>
      </c>
    </row>
    <row r="33" spans="1:10" ht="18" hidden="1" customHeight="1" x14ac:dyDescent="0.25">
      <c r="A33" s="74" t="s">
        <v>16</v>
      </c>
      <c r="B33" s="138">
        <v>24307054</v>
      </c>
      <c r="C33" s="217">
        <v>0</v>
      </c>
      <c r="D33" s="155">
        <f t="shared" si="1"/>
        <v>24307054</v>
      </c>
      <c r="E33" s="16"/>
      <c r="F33" s="16"/>
      <c r="G33" s="164">
        <f t="shared" si="2"/>
        <v>24307054</v>
      </c>
      <c r="H33" s="164">
        <v>49743521.899999999</v>
      </c>
    </row>
    <row r="34" spans="1:10" ht="18" hidden="1" customHeight="1" x14ac:dyDescent="0.25">
      <c r="A34" s="74" t="s">
        <v>17</v>
      </c>
      <c r="B34" s="138">
        <v>35913176</v>
      </c>
      <c r="C34" s="217">
        <v>0</v>
      </c>
      <c r="D34" s="155">
        <f t="shared" si="1"/>
        <v>35913176</v>
      </c>
      <c r="E34" s="16"/>
      <c r="F34" s="16"/>
      <c r="G34" s="164">
        <f t="shared" si="2"/>
        <v>35913176</v>
      </c>
      <c r="H34" s="164">
        <v>14726259.109999999</v>
      </c>
    </row>
    <row r="35" spans="1:10" ht="18" hidden="1" customHeight="1" x14ac:dyDescent="0.25">
      <c r="A35" s="74" t="s">
        <v>18</v>
      </c>
      <c r="B35" s="138">
        <v>4578200</v>
      </c>
      <c r="C35" s="217">
        <v>0</v>
      </c>
      <c r="D35" s="155">
        <f t="shared" si="1"/>
        <v>4578200</v>
      </c>
      <c r="E35" s="16"/>
      <c r="F35" s="16"/>
      <c r="G35" s="164">
        <f t="shared" si="2"/>
        <v>4578200</v>
      </c>
      <c r="H35" s="164">
        <v>427812.65</v>
      </c>
    </row>
    <row r="36" spans="1:10" ht="18" hidden="1" customHeight="1" x14ac:dyDescent="0.25">
      <c r="A36" s="74" t="s">
        <v>62</v>
      </c>
      <c r="B36" s="138">
        <v>45822280</v>
      </c>
      <c r="C36" s="217">
        <v>0</v>
      </c>
      <c r="D36" s="155">
        <f t="shared" si="1"/>
        <v>45822280</v>
      </c>
      <c r="E36" s="16"/>
      <c r="F36" s="16"/>
      <c r="G36" s="164">
        <f t="shared" si="2"/>
        <v>45822280</v>
      </c>
      <c r="H36" s="164">
        <v>24334206.059999999</v>
      </c>
    </row>
    <row r="37" spans="1:10" ht="18" hidden="1" customHeight="1" x14ac:dyDescent="0.25">
      <c r="A37" s="74" t="s">
        <v>19</v>
      </c>
      <c r="B37" s="138">
        <v>1704382</v>
      </c>
      <c r="C37" s="217">
        <v>0</v>
      </c>
      <c r="D37" s="155">
        <f t="shared" si="1"/>
        <v>1704382</v>
      </c>
      <c r="E37" s="16"/>
      <c r="F37" s="16"/>
      <c r="G37" s="164">
        <f t="shared" si="2"/>
        <v>1704382</v>
      </c>
      <c r="H37" s="164">
        <v>1667494.73</v>
      </c>
    </row>
    <row r="38" spans="1:10" ht="18" hidden="1" customHeight="1" x14ac:dyDescent="0.25">
      <c r="A38" s="74" t="s">
        <v>20</v>
      </c>
      <c r="B38" s="138">
        <v>105696406</v>
      </c>
      <c r="C38" s="217">
        <v>0</v>
      </c>
      <c r="D38" s="155">
        <f t="shared" si="1"/>
        <v>105696406</v>
      </c>
      <c r="E38" s="16"/>
      <c r="F38" s="16"/>
      <c r="G38" s="164">
        <f t="shared" si="2"/>
        <v>105696406</v>
      </c>
      <c r="H38" s="164">
        <v>93843687.069999993</v>
      </c>
    </row>
    <row r="39" spans="1:10" ht="18" hidden="1" customHeight="1" x14ac:dyDescent="0.25">
      <c r="A39" s="74" t="s">
        <v>21</v>
      </c>
      <c r="B39" s="138">
        <v>0</v>
      </c>
      <c r="C39" s="217">
        <v>0</v>
      </c>
      <c r="D39" s="155">
        <f t="shared" si="1"/>
        <v>0</v>
      </c>
      <c r="E39" s="16"/>
      <c r="F39" s="16"/>
      <c r="G39" s="164">
        <f t="shared" si="2"/>
        <v>0</v>
      </c>
      <c r="H39" s="164">
        <v>0</v>
      </c>
    </row>
    <row r="40" spans="1:10" ht="18" hidden="1" customHeight="1" x14ac:dyDescent="0.25">
      <c r="A40" s="74" t="s">
        <v>22</v>
      </c>
      <c r="B40" s="138">
        <v>11194247</v>
      </c>
      <c r="C40" s="217">
        <v>0</v>
      </c>
      <c r="D40" s="155">
        <f t="shared" si="1"/>
        <v>11194247</v>
      </c>
      <c r="E40" s="16"/>
      <c r="F40" s="16"/>
      <c r="G40" s="164">
        <f t="shared" si="2"/>
        <v>11194247</v>
      </c>
      <c r="H40" s="164">
        <v>8567762.6500000004</v>
      </c>
    </row>
    <row r="41" spans="1:10" ht="18" hidden="1" customHeight="1" x14ac:dyDescent="0.25">
      <c r="A41" s="74" t="s">
        <v>23</v>
      </c>
      <c r="B41" s="138">
        <v>33942621</v>
      </c>
      <c r="C41" s="217">
        <v>0</v>
      </c>
      <c r="D41" s="155">
        <f t="shared" si="1"/>
        <v>33942621</v>
      </c>
      <c r="E41" s="16"/>
      <c r="F41" s="16"/>
      <c r="G41" s="164">
        <f t="shared" si="2"/>
        <v>33942621</v>
      </c>
      <c r="H41" s="164">
        <v>35563437.789999999</v>
      </c>
    </row>
    <row r="42" spans="1:10" ht="18" hidden="1" customHeight="1" x14ac:dyDescent="0.25">
      <c r="A42" s="78"/>
      <c r="B42" s="79"/>
      <c r="C42" s="218"/>
      <c r="D42" s="155">
        <f t="shared" si="1"/>
        <v>0</v>
      </c>
      <c r="E42" s="16"/>
      <c r="F42" s="16"/>
      <c r="G42" s="164">
        <f t="shared" si="2"/>
        <v>0</v>
      </c>
      <c r="H42" s="164">
        <v>0</v>
      </c>
    </row>
    <row r="43" spans="1:10" ht="18" customHeight="1" x14ac:dyDescent="0.25">
      <c r="A43" s="76" t="s">
        <v>24</v>
      </c>
      <c r="B43" s="139">
        <v>0</v>
      </c>
      <c r="C43" s="219">
        <v>0</v>
      </c>
      <c r="D43" s="157">
        <v>0</v>
      </c>
      <c r="E43" s="22"/>
      <c r="F43" s="22"/>
      <c r="G43" s="156">
        <f t="shared" si="2"/>
        <v>0</v>
      </c>
      <c r="H43" s="156">
        <v>0</v>
      </c>
    </row>
    <row r="44" spans="1:10" ht="18" customHeight="1" x14ac:dyDescent="0.25">
      <c r="A44" s="81"/>
      <c r="B44" s="79"/>
      <c r="C44" s="218"/>
      <c r="D44" s="155"/>
      <c r="E44" s="16"/>
      <c r="F44" s="16"/>
      <c r="G44" s="164">
        <f t="shared" si="2"/>
        <v>0</v>
      </c>
      <c r="H44" s="164">
        <v>0</v>
      </c>
    </row>
    <row r="45" spans="1:10" ht="18" customHeight="1" x14ac:dyDescent="0.25">
      <c r="A45" s="76" t="s">
        <v>25</v>
      </c>
      <c r="B45" s="137">
        <f>B47+B48</f>
        <v>458958665</v>
      </c>
      <c r="C45" s="216">
        <v>962618</v>
      </c>
      <c r="D45" s="156">
        <f t="shared" si="1"/>
        <v>459921283</v>
      </c>
      <c r="E45" s="22"/>
      <c r="F45" s="22"/>
      <c r="G45" s="156">
        <f t="shared" si="2"/>
        <v>459921283</v>
      </c>
      <c r="H45" s="156">
        <v>379518682.35000002</v>
      </c>
      <c r="J45" s="13"/>
    </row>
    <row r="46" spans="1:10" ht="18" hidden="1" customHeight="1" x14ac:dyDescent="0.25">
      <c r="A46" s="74"/>
      <c r="B46" s="136"/>
      <c r="C46" s="215"/>
      <c r="D46" s="155"/>
      <c r="E46" s="16"/>
      <c r="F46" s="16"/>
      <c r="G46" s="164">
        <f t="shared" si="2"/>
        <v>0</v>
      </c>
      <c r="H46" s="164">
        <v>0</v>
      </c>
    </row>
    <row r="47" spans="1:10" ht="18" hidden="1" customHeight="1" x14ac:dyDescent="0.25">
      <c r="A47" s="74" t="s">
        <v>26</v>
      </c>
      <c r="B47" s="138">
        <v>458924686</v>
      </c>
      <c r="C47" s="217">
        <v>0</v>
      </c>
      <c r="D47" s="155">
        <f t="shared" si="1"/>
        <v>458924686</v>
      </c>
      <c r="E47" s="16"/>
      <c r="F47" s="16"/>
      <c r="G47" s="164">
        <f t="shared" si="2"/>
        <v>458924686</v>
      </c>
      <c r="H47" s="164">
        <v>378407023</v>
      </c>
    </row>
    <row r="48" spans="1:10" ht="18" hidden="1" customHeight="1" x14ac:dyDescent="0.25">
      <c r="A48" s="74" t="s">
        <v>27</v>
      </c>
      <c r="B48" s="138">
        <v>33979</v>
      </c>
      <c r="C48" s="217">
        <v>0</v>
      </c>
      <c r="D48" s="155">
        <f t="shared" si="1"/>
        <v>33979</v>
      </c>
      <c r="E48" s="16"/>
      <c r="F48" s="16"/>
      <c r="G48" s="164">
        <f t="shared" si="2"/>
        <v>33979</v>
      </c>
      <c r="H48" s="164">
        <v>22556.35</v>
      </c>
    </row>
    <row r="49" spans="1:10" ht="18" customHeight="1" x14ac:dyDescent="0.25">
      <c r="A49" s="82"/>
      <c r="B49" s="82"/>
      <c r="C49" s="221"/>
      <c r="D49" s="155">
        <f t="shared" si="1"/>
        <v>0</v>
      </c>
      <c r="E49" s="16"/>
      <c r="F49" s="16"/>
      <c r="G49" s="164">
        <f t="shared" si="2"/>
        <v>0</v>
      </c>
      <c r="H49" s="164">
        <v>0</v>
      </c>
    </row>
    <row r="50" spans="1:10" ht="18" customHeight="1" x14ac:dyDescent="0.25">
      <c r="A50" s="72" t="s">
        <v>28</v>
      </c>
      <c r="B50" s="135">
        <f>B52</f>
        <v>12836685</v>
      </c>
      <c r="C50" s="214">
        <v>219875</v>
      </c>
      <c r="D50" s="154">
        <f t="shared" si="1"/>
        <v>13056560</v>
      </c>
      <c r="E50" s="28"/>
      <c r="F50" s="28"/>
      <c r="G50" s="154">
        <f t="shared" si="2"/>
        <v>13056560</v>
      </c>
      <c r="H50" s="154">
        <v>10375127.720000001</v>
      </c>
    </row>
    <row r="51" spans="1:10" ht="18" customHeight="1" x14ac:dyDescent="0.25">
      <c r="A51" s="83"/>
      <c r="B51" s="141"/>
      <c r="C51" s="222"/>
      <c r="D51" s="155">
        <f t="shared" si="1"/>
        <v>0</v>
      </c>
      <c r="E51" s="16"/>
      <c r="F51" s="16"/>
      <c r="G51" s="164">
        <f t="shared" si="2"/>
        <v>0</v>
      </c>
      <c r="H51" s="164">
        <v>0</v>
      </c>
    </row>
    <row r="52" spans="1:10" ht="18" customHeight="1" x14ac:dyDescent="0.25">
      <c r="A52" s="74" t="s">
        <v>65</v>
      </c>
      <c r="B52" s="138">
        <v>12836685</v>
      </c>
      <c r="C52" s="223">
        <v>0</v>
      </c>
      <c r="D52" s="155">
        <f t="shared" si="1"/>
        <v>12836685</v>
      </c>
      <c r="E52" s="16"/>
      <c r="F52" s="16"/>
      <c r="G52" s="164">
        <f t="shared" si="2"/>
        <v>12836685</v>
      </c>
      <c r="H52" s="164">
        <v>10307476.720000001</v>
      </c>
    </row>
    <row r="53" spans="1:10" ht="18" customHeight="1" x14ac:dyDescent="0.25">
      <c r="A53" s="74"/>
      <c r="B53" s="138"/>
      <c r="C53" s="217"/>
      <c r="D53" s="155">
        <f t="shared" si="1"/>
        <v>0</v>
      </c>
      <c r="E53" s="16"/>
      <c r="F53" s="16"/>
      <c r="G53" s="164">
        <f t="shared" si="2"/>
        <v>0</v>
      </c>
      <c r="H53" s="164">
        <v>0</v>
      </c>
    </row>
    <row r="54" spans="1:10" ht="18" customHeight="1" x14ac:dyDescent="0.25">
      <c r="A54" s="125" t="s">
        <v>160</v>
      </c>
      <c r="B54" s="142">
        <f>B56</f>
        <v>1063014</v>
      </c>
      <c r="C54" s="224">
        <f>C56</f>
        <v>0</v>
      </c>
      <c r="D54" s="158">
        <f t="shared" si="1"/>
        <v>1063014</v>
      </c>
      <c r="E54" s="128"/>
      <c r="F54" s="128"/>
      <c r="G54" s="165">
        <f t="shared" si="2"/>
        <v>1063014</v>
      </c>
      <c r="H54" s="165">
        <v>703174.14</v>
      </c>
    </row>
    <row r="55" spans="1:10" ht="18" customHeight="1" x14ac:dyDescent="0.25">
      <c r="A55" s="130"/>
      <c r="B55" s="138"/>
      <c r="C55" s="217"/>
      <c r="D55" s="155">
        <f t="shared" si="1"/>
        <v>0</v>
      </c>
      <c r="E55" s="16"/>
      <c r="F55" s="16"/>
      <c r="G55" s="164">
        <f t="shared" si="2"/>
        <v>0</v>
      </c>
      <c r="H55" s="164">
        <v>0</v>
      </c>
    </row>
    <row r="56" spans="1:10" ht="18" customHeight="1" x14ac:dyDescent="0.25">
      <c r="A56" s="74" t="s">
        <v>66</v>
      </c>
      <c r="B56" s="138">
        <v>1063014</v>
      </c>
      <c r="C56" s="217">
        <v>0</v>
      </c>
      <c r="D56" s="155">
        <f t="shared" si="1"/>
        <v>1063014</v>
      </c>
      <c r="E56" s="16"/>
      <c r="F56" s="16"/>
      <c r="G56" s="164">
        <f t="shared" si="2"/>
        <v>1063014</v>
      </c>
      <c r="H56" s="164">
        <v>703174.14</v>
      </c>
    </row>
    <row r="57" spans="1:10" ht="18" customHeight="1" thickBot="1" x14ac:dyDescent="0.3">
      <c r="A57" s="78"/>
      <c r="B57" s="79"/>
      <c r="C57" s="218"/>
      <c r="D57" s="155"/>
      <c r="E57" s="16"/>
      <c r="F57" s="16"/>
      <c r="G57" s="164">
        <f t="shared" si="2"/>
        <v>0</v>
      </c>
      <c r="H57" s="164">
        <v>0</v>
      </c>
    </row>
    <row r="58" spans="1:10" ht="18" customHeight="1" thickBot="1" x14ac:dyDescent="0.3">
      <c r="A58" s="29" t="s">
        <v>54</v>
      </c>
      <c r="B58" s="143">
        <f>B4+B27+B50+B54</f>
        <v>1049207761</v>
      </c>
      <c r="C58" s="225">
        <f>C4+C27+C50+C54</f>
        <v>2526921</v>
      </c>
      <c r="D58" s="159">
        <f t="shared" si="1"/>
        <v>1051734682</v>
      </c>
      <c r="E58" s="30">
        <f>SUM(E4:E57)</f>
        <v>124281</v>
      </c>
      <c r="F58" s="30">
        <f>SUM(F4:F57)</f>
        <v>507238</v>
      </c>
      <c r="G58" s="166">
        <f>+D58-E58-F58</f>
        <v>1051103163</v>
      </c>
      <c r="H58" s="166">
        <v>927701911.22000003</v>
      </c>
      <c r="I58" s="14">
        <f>G4+G27+G50+G54</f>
        <v>1051103163</v>
      </c>
    </row>
    <row r="59" spans="1:10" ht="18" customHeight="1" thickBot="1" x14ac:dyDescent="0.3">
      <c r="A59" s="236" t="s">
        <v>55</v>
      </c>
      <c r="B59" s="237">
        <v>279821860</v>
      </c>
      <c r="C59" s="238">
        <v>0</v>
      </c>
      <c r="D59" s="239">
        <f t="shared" si="1"/>
        <v>279821860</v>
      </c>
      <c r="E59" s="240"/>
      <c r="F59" s="240"/>
      <c r="G59" s="241">
        <f>+D59+E59-F59</f>
        <v>279821860</v>
      </c>
      <c r="H59" s="241">
        <v>279701992.16000003</v>
      </c>
      <c r="J59" s="117"/>
    </row>
    <row r="60" spans="1:10" x14ac:dyDescent="0.25">
      <c r="A60" s="235"/>
      <c r="B60" s="1"/>
      <c r="C60" s="1"/>
      <c r="D60" s="11"/>
      <c r="E60" s="16"/>
      <c r="F60" s="16"/>
      <c r="G60" s="131"/>
      <c r="H60" s="131"/>
      <c r="J60" s="117"/>
    </row>
    <row r="61" spans="1:10" ht="16" thickBot="1" x14ac:dyDescent="0.3">
      <c r="A61" s="235"/>
      <c r="B61" s="1"/>
      <c r="C61" s="1"/>
      <c r="D61" s="11"/>
      <c r="E61" s="16"/>
      <c r="F61" s="16"/>
      <c r="G61" s="11"/>
      <c r="H61" s="11"/>
    </row>
    <row r="62" spans="1:10" ht="34.5" customHeight="1" thickBot="1" x14ac:dyDescent="0.3">
      <c r="A62" s="29" t="s">
        <v>59</v>
      </c>
      <c r="B62" s="29" t="s">
        <v>71</v>
      </c>
      <c r="C62" s="198" t="s">
        <v>72</v>
      </c>
      <c r="D62" s="152" t="s">
        <v>73</v>
      </c>
      <c r="E62" s="133" t="s">
        <v>157</v>
      </c>
      <c r="F62" s="133" t="s">
        <v>158</v>
      </c>
      <c r="G62" s="152" t="s">
        <v>161</v>
      </c>
      <c r="H62" s="152" t="s">
        <v>154</v>
      </c>
    </row>
    <row r="63" spans="1:10" ht="18" customHeight="1" x14ac:dyDescent="0.25">
      <c r="A63" s="70"/>
      <c r="B63" s="136"/>
      <c r="C63" s="215"/>
      <c r="D63" s="155"/>
      <c r="E63" s="16"/>
      <c r="F63" s="16"/>
      <c r="G63" s="155">
        <f>+D63+E63-F63</f>
        <v>0</v>
      </c>
      <c r="H63" s="155">
        <v>0</v>
      </c>
      <c r="J63" s="124"/>
    </row>
    <row r="64" spans="1:10" ht="18" customHeight="1" x14ac:dyDescent="0.25">
      <c r="A64" s="72" t="s">
        <v>29</v>
      </c>
      <c r="B64" s="135">
        <f>B66+B68+B74+B75</f>
        <v>550242930.12</v>
      </c>
      <c r="C64" s="214">
        <f>C66+C68+C74</f>
        <v>1661162</v>
      </c>
      <c r="D64" s="160">
        <f>+B64+C64</f>
        <v>551904092.12</v>
      </c>
      <c r="E64" s="28"/>
      <c r="F64" s="26">
        <f>F66+F68+F74</f>
        <v>60000</v>
      </c>
      <c r="G64" s="154">
        <f>G66+G68+G74</f>
        <v>551844092.12</v>
      </c>
      <c r="H64" s="154">
        <v>532750886.99000001</v>
      </c>
    </row>
    <row r="65" spans="1:8" ht="18" customHeight="1" x14ac:dyDescent="0.25">
      <c r="A65" s="74"/>
      <c r="B65" s="144"/>
      <c r="C65" s="226"/>
      <c r="D65" s="161"/>
      <c r="E65" s="16"/>
      <c r="F65" s="16"/>
      <c r="G65" s="164">
        <f t="shared" ref="G65:G73" si="3">+D65+E65-F65</f>
        <v>0</v>
      </c>
      <c r="H65" s="164">
        <v>0</v>
      </c>
    </row>
    <row r="66" spans="1:8" ht="18" customHeight="1" x14ac:dyDescent="0.25">
      <c r="A66" s="76" t="s">
        <v>30</v>
      </c>
      <c r="B66" s="145">
        <v>107139198.12</v>
      </c>
      <c r="C66" s="227">
        <v>60000</v>
      </c>
      <c r="D66" s="162">
        <f>+B66+C66</f>
        <v>107199198.12</v>
      </c>
      <c r="E66" s="22"/>
      <c r="F66" s="167">
        <v>60000</v>
      </c>
      <c r="G66" s="156">
        <f t="shared" si="3"/>
        <v>107139198.12</v>
      </c>
      <c r="H66" s="156">
        <v>107139198.12</v>
      </c>
    </row>
    <row r="67" spans="1:8" ht="18" customHeight="1" x14ac:dyDescent="0.25">
      <c r="A67" s="74"/>
      <c r="B67" s="144"/>
      <c r="C67" s="226"/>
      <c r="D67" s="161"/>
      <c r="E67" s="16"/>
      <c r="F67" s="16"/>
      <c r="G67" s="164">
        <f t="shared" si="3"/>
        <v>0</v>
      </c>
      <c r="H67" s="164">
        <v>0</v>
      </c>
    </row>
    <row r="68" spans="1:8" ht="18" customHeight="1" x14ac:dyDescent="0.25">
      <c r="A68" s="76" t="s">
        <v>31</v>
      </c>
      <c r="B68" s="146">
        <f>B71+B72+B70</f>
        <v>391501398</v>
      </c>
      <c r="C68" s="216">
        <v>0</v>
      </c>
      <c r="D68" s="162">
        <f>+B68+C68</f>
        <v>391501398</v>
      </c>
      <c r="E68" s="22"/>
      <c r="F68" s="22"/>
      <c r="G68" s="156">
        <f t="shared" si="3"/>
        <v>391501398</v>
      </c>
      <c r="H68" s="156">
        <v>341664513.36000001</v>
      </c>
    </row>
    <row r="69" spans="1:8" ht="18" customHeight="1" x14ac:dyDescent="0.25">
      <c r="A69" s="70"/>
      <c r="B69" s="147"/>
      <c r="C69" s="228"/>
      <c r="D69" s="161"/>
      <c r="E69" s="16"/>
      <c r="F69" s="16"/>
      <c r="G69" s="164">
        <f t="shared" si="3"/>
        <v>0</v>
      </c>
      <c r="H69" s="164">
        <v>0</v>
      </c>
    </row>
    <row r="70" spans="1:8" ht="18" hidden="1" customHeight="1" x14ac:dyDescent="0.25">
      <c r="A70" s="74" t="s">
        <v>32</v>
      </c>
      <c r="B70" s="144">
        <v>11877309</v>
      </c>
      <c r="C70" s="226">
        <v>0</v>
      </c>
      <c r="D70" s="161">
        <f t="shared" ref="D70:D119" si="4">+B70+C70</f>
        <v>11877309</v>
      </c>
      <c r="E70" s="16"/>
      <c r="F70" s="16"/>
      <c r="G70" s="164">
        <f t="shared" si="3"/>
        <v>11877309</v>
      </c>
      <c r="H70" s="164">
        <v>11243232.189999999</v>
      </c>
    </row>
    <row r="71" spans="1:8" ht="18" hidden="1" customHeight="1" x14ac:dyDescent="0.25">
      <c r="A71" s="74" t="s">
        <v>33</v>
      </c>
      <c r="B71" s="144">
        <v>290935729</v>
      </c>
      <c r="C71" s="226">
        <v>0</v>
      </c>
      <c r="D71" s="161">
        <f t="shared" si="4"/>
        <v>290935729</v>
      </c>
      <c r="E71" s="16"/>
      <c r="F71" s="16"/>
      <c r="G71" s="164">
        <f t="shared" si="3"/>
        <v>290935729</v>
      </c>
      <c r="H71" s="164">
        <v>238329965.06999999</v>
      </c>
    </row>
    <row r="72" spans="1:8" ht="18" hidden="1" customHeight="1" x14ac:dyDescent="0.25">
      <c r="A72" s="74" t="s">
        <v>63</v>
      </c>
      <c r="B72" s="144">
        <v>88688360</v>
      </c>
      <c r="C72" s="226">
        <v>0</v>
      </c>
      <c r="D72" s="161">
        <f t="shared" si="4"/>
        <v>88688360</v>
      </c>
      <c r="E72" s="16"/>
      <c r="F72" s="16"/>
      <c r="G72" s="164">
        <f t="shared" si="3"/>
        <v>88688360</v>
      </c>
      <c r="H72" s="164">
        <v>92091316.099999994</v>
      </c>
    </row>
    <row r="73" spans="1:8" ht="18" hidden="1" customHeight="1" x14ac:dyDescent="0.25">
      <c r="A73" s="78"/>
      <c r="B73" s="148"/>
      <c r="C73" s="229"/>
      <c r="D73" s="161">
        <f t="shared" si="4"/>
        <v>0</v>
      </c>
      <c r="E73" s="16"/>
      <c r="F73" s="16"/>
      <c r="G73" s="164">
        <f t="shared" si="3"/>
        <v>0</v>
      </c>
      <c r="H73" s="164">
        <v>0</v>
      </c>
    </row>
    <row r="74" spans="1:8" ht="18" customHeight="1" x14ac:dyDescent="0.25">
      <c r="A74" s="76" t="s">
        <v>34</v>
      </c>
      <c r="B74" s="146">
        <f>B77+B78+B79</f>
        <v>51602334</v>
      </c>
      <c r="C74" s="216">
        <f>1277061+324101</f>
        <v>1601162</v>
      </c>
      <c r="D74" s="162">
        <f>+B74+C74</f>
        <v>53203496</v>
      </c>
      <c r="E74" s="25"/>
      <c r="F74" s="25"/>
      <c r="G74" s="156">
        <f>+D74-E74-F74</f>
        <v>53203496</v>
      </c>
      <c r="H74" s="156">
        <v>83947175.50999999</v>
      </c>
    </row>
    <row r="75" spans="1:8" ht="18" customHeight="1" x14ac:dyDescent="0.25">
      <c r="A75" s="132"/>
      <c r="B75" s="149"/>
      <c r="C75" s="230"/>
      <c r="D75" s="161">
        <f t="shared" si="4"/>
        <v>0</v>
      </c>
      <c r="E75" s="16"/>
      <c r="F75" s="16"/>
      <c r="G75" s="164">
        <f t="shared" ref="G75:G85" si="5">+D75+E75-F75</f>
        <v>0</v>
      </c>
      <c r="H75" s="164">
        <v>0</v>
      </c>
    </row>
    <row r="76" spans="1:8" ht="18" hidden="1" customHeight="1" x14ac:dyDescent="0.25">
      <c r="A76" s="70"/>
      <c r="B76" s="147"/>
      <c r="C76" s="228"/>
      <c r="D76" s="161"/>
      <c r="E76" s="16"/>
      <c r="F76" s="16"/>
      <c r="G76" s="164">
        <f t="shared" si="5"/>
        <v>0</v>
      </c>
      <c r="H76" s="164">
        <v>0</v>
      </c>
    </row>
    <row r="77" spans="1:8" ht="18" hidden="1" customHeight="1" x14ac:dyDescent="0.25">
      <c r="A77" s="74" t="s">
        <v>35</v>
      </c>
      <c r="B77" s="144">
        <v>28078599</v>
      </c>
      <c r="C77" s="226">
        <v>0</v>
      </c>
      <c r="D77" s="161"/>
      <c r="E77" s="16"/>
      <c r="F77" s="16"/>
      <c r="G77" s="164">
        <f t="shared" si="5"/>
        <v>0</v>
      </c>
      <c r="H77" s="164">
        <v>0</v>
      </c>
    </row>
    <row r="78" spans="1:8" ht="18" hidden="1" customHeight="1" x14ac:dyDescent="0.25">
      <c r="A78" s="74" t="s">
        <v>36</v>
      </c>
      <c r="B78" s="144">
        <v>23523735</v>
      </c>
      <c r="C78" s="226">
        <v>0</v>
      </c>
      <c r="D78" s="161"/>
      <c r="E78" s="16"/>
      <c r="F78" s="16"/>
      <c r="G78" s="164">
        <f t="shared" si="5"/>
        <v>0</v>
      </c>
      <c r="H78" s="164">
        <v>0</v>
      </c>
    </row>
    <row r="79" spans="1:8" ht="18" hidden="1" customHeight="1" x14ac:dyDescent="0.25">
      <c r="A79" s="74" t="s">
        <v>37</v>
      </c>
      <c r="B79" s="144">
        <v>0</v>
      </c>
      <c r="C79" s="226">
        <v>0</v>
      </c>
      <c r="D79" s="161"/>
      <c r="E79" s="16"/>
      <c r="F79" s="16"/>
      <c r="G79" s="164">
        <f t="shared" si="5"/>
        <v>0</v>
      </c>
      <c r="H79" s="164">
        <v>0</v>
      </c>
    </row>
    <row r="80" spans="1:8" ht="18" hidden="1" customHeight="1" x14ac:dyDescent="0.25">
      <c r="A80" s="78"/>
      <c r="B80" s="595"/>
      <c r="C80" s="231"/>
      <c r="D80" s="161"/>
      <c r="E80" s="16"/>
      <c r="F80" s="16"/>
      <c r="G80" s="164">
        <f t="shared" si="5"/>
        <v>0</v>
      </c>
      <c r="H80" s="164">
        <v>0</v>
      </c>
    </row>
    <row r="81" spans="1:9" ht="18" hidden="1" customHeight="1" x14ac:dyDescent="0.25">
      <c r="A81" s="78"/>
      <c r="B81" s="595"/>
      <c r="C81" s="231"/>
      <c r="D81" s="161"/>
      <c r="E81" s="16"/>
      <c r="F81" s="16"/>
      <c r="G81" s="164">
        <f t="shared" si="5"/>
        <v>0</v>
      </c>
      <c r="H81" s="164">
        <v>0</v>
      </c>
    </row>
    <row r="82" spans="1:9" ht="18" customHeight="1" x14ac:dyDescent="0.25">
      <c r="A82" s="72" t="s">
        <v>38</v>
      </c>
      <c r="B82" s="150">
        <v>67729175</v>
      </c>
      <c r="C82" s="232">
        <v>0</v>
      </c>
      <c r="D82" s="160">
        <f>+B82+C82</f>
        <v>67729175</v>
      </c>
      <c r="E82" s="28"/>
      <c r="F82" s="28"/>
      <c r="G82" s="154">
        <f t="shared" si="5"/>
        <v>67729175</v>
      </c>
      <c r="H82" s="154">
        <v>54218868.479999997</v>
      </c>
      <c r="I82" s="117">
        <f>G64+G82+G84+G86+G101+G107</f>
        <v>1051103163.12</v>
      </c>
    </row>
    <row r="83" spans="1:9" ht="18" customHeight="1" x14ac:dyDescent="0.25">
      <c r="A83" s="70"/>
      <c r="B83" s="147"/>
      <c r="C83" s="228"/>
      <c r="D83" s="161"/>
      <c r="E83" s="16"/>
      <c r="F83" s="16"/>
      <c r="G83" s="164">
        <f t="shared" si="5"/>
        <v>0</v>
      </c>
      <c r="H83" s="164">
        <v>0</v>
      </c>
    </row>
    <row r="84" spans="1:9" ht="18" customHeight="1" x14ac:dyDescent="0.25">
      <c r="A84" s="72" t="s">
        <v>39</v>
      </c>
      <c r="B84" s="150">
        <v>1930132</v>
      </c>
      <c r="C84" s="232">
        <v>90650</v>
      </c>
      <c r="D84" s="160">
        <f>+B84+C84</f>
        <v>2020782</v>
      </c>
      <c r="E84" s="28"/>
      <c r="F84" s="28"/>
      <c r="G84" s="154">
        <f t="shared" si="5"/>
        <v>2020782</v>
      </c>
      <c r="H84" s="154">
        <v>1994621.76</v>
      </c>
    </row>
    <row r="85" spans="1:9" ht="18" customHeight="1" x14ac:dyDescent="0.25">
      <c r="A85" s="70"/>
      <c r="B85" s="147"/>
      <c r="C85" s="228"/>
      <c r="D85" s="161"/>
      <c r="E85" s="16"/>
      <c r="F85" s="16"/>
      <c r="G85" s="164">
        <f t="shared" si="5"/>
        <v>0</v>
      </c>
      <c r="H85" s="164">
        <v>0</v>
      </c>
    </row>
    <row r="86" spans="1:9" ht="18" customHeight="1" x14ac:dyDescent="0.25">
      <c r="A86" s="72" t="s">
        <v>61</v>
      </c>
      <c r="B86" s="135">
        <f>B87+B88+B89+B90+B91+B92+B93+B94+B95+B96+B97+B98</f>
        <v>58943774</v>
      </c>
      <c r="C86" s="214">
        <v>602548</v>
      </c>
      <c r="D86" s="160">
        <f>+B86+C86</f>
        <v>59546322</v>
      </c>
      <c r="E86" s="168">
        <v>507238</v>
      </c>
      <c r="F86" s="168">
        <v>64281</v>
      </c>
      <c r="G86" s="154">
        <f>+D86-E86-F86</f>
        <v>58974803</v>
      </c>
      <c r="H86" s="154">
        <v>48412332.990000002</v>
      </c>
    </row>
    <row r="87" spans="1:9" ht="18" hidden="1" customHeight="1" x14ac:dyDescent="0.25">
      <c r="A87" s="74" t="s">
        <v>40</v>
      </c>
      <c r="B87" s="144">
        <v>263551</v>
      </c>
      <c r="C87" s="226">
        <v>0</v>
      </c>
      <c r="D87" s="161">
        <f t="shared" si="4"/>
        <v>263551</v>
      </c>
      <c r="E87" s="16"/>
      <c r="F87" s="16"/>
      <c r="G87" s="155">
        <f t="shared" ref="G87:G117" si="6">+D87+E87-F87</f>
        <v>263551</v>
      </c>
      <c r="H87" s="155">
        <v>2659850.52</v>
      </c>
    </row>
    <row r="88" spans="1:9" ht="18" hidden="1" customHeight="1" x14ac:dyDescent="0.25">
      <c r="A88" s="74" t="s">
        <v>41</v>
      </c>
      <c r="B88" s="144">
        <v>7584</v>
      </c>
      <c r="C88" s="226">
        <v>0</v>
      </c>
      <c r="D88" s="161">
        <f t="shared" si="4"/>
        <v>7584</v>
      </c>
      <c r="E88" s="16"/>
      <c r="F88" s="16"/>
      <c r="G88" s="155">
        <f t="shared" si="6"/>
        <v>7584</v>
      </c>
      <c r="H88" s="155">
        <v>194652.82</v>
      </c>
    </row>
    <row r="89" spans="1:9" ht="18" hidden="1" customHeight="1" x14ac:dyDescent="0.25">
      <c r="A89" s="74" t="s">
        <v>42</v>
      </c>
      <c r="B89" s="144">
        <v>2663972</v>
      </c>
      <c r="C89" s="226">
        <v>0</v>
      </c>
      <c r="D89" s="161">
        <f t="shared" si="4"/>
        <v>2663972</v>
      </c>
      <c r="E89" s="16"/>
      <c r="F89" s="16"/>
      <c r="G89" s="155">
        <f t="shared" si="6"/>
        <v>2663972</v>
      </c>
      <c r="H89" s="155">
        <v>2298008.4900000002</v>
      </c>
    </row>
    <row r="90" spans="1:9" ht="18" hidden="1" customHeight="1" x14ac:dyDescent="0.25">
      <c r="A90" s="74" t="s">
        <v>43</v>
      </c>
      <c r="B90" s="144">
        <v>3990</v>
      </c>
      <c r="C90" s="226">
        <v>0</v>
      </c>
      <c r="D90" s="161">
        <f t="shared" si="4"/>
        <v>3990</v>
      </c>
      <c r="E90" s="16"/>
      <c r="F90" s="16"/>
      <c r="G90" s="155">
        <f t="shared" si="6"/>
        <v>3990</v>
      </c>
      <c r="H90" s="155">
        <v>829864</v>
      </c>
    </row>
    <row r="91" spans="1:9" ht="18" hidden="1" customHeight="1" x14ac:dyDescent="0.25">
      <c r="A91" s="74" t="s">
        <v>64</v>
      </c>
      <c r="B91" s="144">
        <v>0</v>
      </c>
      <c r="C91" s="226">
        <v>0</v>
      </c>
      <c r="D91" s="161">
        <f t="shared" si="4"/>
        <v>0</v>
      </c>
      <c r="E91" s="16"/>
      <c r="F91" s="16"/>
      <c r="G91" s="155">
        <f t="shared" si="6"/>
        <v>0</v>
      </c>
      <c r="H91" s="155">
        <v>0</v>
      </c>
    </row>
    <row r="92" spans="1:9" ht="18" hidden="1" customHeight="1" x14ac:dyDescent="0.25">
      <c r="A92" s="74" t="s">
        <v>44</v>
      </c>
      <c r="B92" s="144">
        <v>75060</v>
      </c>
      <c r="C92" s="226">
        <v>0</v>
      </c>
      <c r="D92" s="161">
        <f t="shared" si="4"/>
        <v>75060</v>
      </c>
      <c r="E92" s="16"/>
      <c r="F92" s="16"/>
      <c r="G92" s="155">
        <f t="shared" si="6"/>
        <v>75060</v>
      </c>
      <c r="H92" s="155">
        <v>196110.56</v>
      </c>
    </row>
    <row r="93" spans="1:9" ht="18" hidden="1" customHeight="1" x14ac:dyDescent="0.25">
      <c r="A93" s="74" t="s">
        <v>45</v>
      </c>
      <c r="B93" s="144">
        <v>3589</v>
      </c>
      <c r="C93" s="226">
        <v>0</v>
      </c>
      <c r="D93" s="161">
        <f t="shared" si="4"/>
        <v>3589</v>
      </c>
      <c r="E93" s="16"/>
      <c r="F93" s="16"/>
      <c r="G93" s="155">
        <f t="shared" si="6"/>
        <v>3589</v>
      </c>
      <c r="H93" s="155">
        <v>1361.83</v>
      </c>
    </row>
    <row r="94" spans="1:9" ht="18" hidden="1" customHeight="1" x14ac:dyDescent="0.25">
      <c r="A94" s="74" t="s">
        <v>46</v>
      </c>
      <c r="B94" s="144">
        <v>0</v>
      </c>
      <c r="C94" s="226">
        <v>0</v>
      </c>
      <c r="D94" s="161">
        <f t="shared" si="4"/>
        <v>0</v>
      </c>
      <c r="E94" s="16"/>
      <c r="F94" s="16"/>
      <c r="G94" s="155">
        <f t="shared" si="6"/>
        <v>0</v>
      </c>
      <c r="H94" s="155">
        <v>0</v>
      </c>
    </row>
    <row r="95" spans="1:9" ht="18" hidden="1" customHeight="1" x14ac:dyDescent="0.25">
      <c r="A95" s="74" t="s">
        <v>47</v>
      </c>
      <c r="B95" s="144">
        <v>18347101</v>
      </c>
      <c r="C95" s="226">
        <v>0</v>
      </c>
      <c r="D95" s="161">
        <f t="shared" si="4"/>
        <v>18347101</v>
      </c>
      <c r="E95" s="16"/>
      <c r="F95" s="16"/>
      <c r="G95" s="155">
        <f t="shared" si="6"/>
        <v>18347101</v>
      </c>
      <c r="H95" s="155">
        <v>11162277.76</v>
      </c>
    </row>
    <row r="96" spans="1:9" ht="18" hidden="1" customHeight="1" x14ac:dyDescent="0.25">
      <c r="A96" s="74" t="s">
        <v>48</v>
      </c>
      <c r="B96" s="144">
        <v>254860</v>
      </c>
      <c r="C96" s="226">
        <v>0</v>
      </c>
      <c r="D96" s="161">
        <f t="shared" si="4"/>
        <v>254860</v>
      </c>
      <c r="E96" s="16"/>
      <c r="F96" s="16"/>
      <c r="G96" s="155">
        <f t="shared" si="6"/>
        <v>254860</v>
      </c>
      <c r="H96" s="155">
        <v>41621.760000000002</v>
      </c>
    </row>
    <row r="97" spans="1:8" ht="18" hidden="1" customHeight="1" x14ac:dyDescent="0.25">
      <c r="A97" s="74" t="s">
        <v>49</v>
      </c>
      <c r="B97" s="144">
        <v>0</v>
      </c>
      <c r="C97" s="226">
        <v>0</v>
      </c>
      <c r="D97" s="161">
        <f t="shared" si="4"/>
        <v>0</v>
      </c>
      <c r="E97" s="16"/>
      <c r="F97" s="16"/>
      <c r="G97" s="155">
        <f t="shared" si="6"/>
        <v>0</v>
      </c>
      <c r="H97" s="155">
        <v>0</v>
      </c>
    </row>
    <row r="98" spans="1:8" ht="18" hidden="1" customHeight="1" x14ac:dyDescent="0.25">
      <c r="A98" s="74" t="s">
        <v>50</v>
      </c>
      <c r="B98" s="144">
        <v>37324067</v>
      </c>
      <c r="C98" s="226">
        <v>0</v>
      </c>
      <c r="D98" s="161">
        <f t="shared" si="4"/>
        <v>37324067</v>
      </c>
      <c r="E98" s="16"/>
      <c r="F98" s="16"/>
      <c r="G98" s="155">
        <f t="shared" si="6"/>
        <v>37324067</v>
      </c>
      <c r="H98" s="155">
        <v>31165994.25</v>
      </c>
    </row>
    <row r="99" spans="1:8" ht="18" hidden="1" customHeight="1" x14ac:dyDescent="0.25">
      <c r="A99" s="589"/>
      <c r="B99" s="596"/>
      <c r="C99" s="233"/>
      <c r="D99" s="161">
        <f t="shared" si="4"/>
        <v>0</v>
      </c>
      <c r="E99" s="16"/>
      <c r="F99" s="16"/>
      <c r="G99" s="155">
        <f t="shared" si="6"/>
        <v>0</v>
      </c>
      <c r="H99" s="155">
        <v>0</v>
      </c>
    </row>
    <row r="100" spans="1:8" ht="18" customHeight="1" x14ac:dyDescent="0.25">
      <c r="A100" s="589"/>
      <c r="B100" s="596"/>
      <c r="C100" s="233"/>
      <c r="D100" s="161">
        <f t="shared" si="4"/>
        <v>0</v>
      </c>
      <c r="E100" s="16"/>
      <c r="F100" s="16"/>
      <c r="G100" s="155">
        <f t="shared" si="6"/>
        <v>0</v>
      </c>
      <c r="H100" s="155">
        <v>0</v>
      </c>
    </row>
    <row r="101" spans="1:8" ht="18" customHeight="1" x14ac:dyDescent="0.25">
      <c r="A101" s="72" t="s">
        <v>51</v>
      </c>
      <c r="B101" s="135">
        <f>B103+B104</f>
        <v>230467221</v>
      </c>
      <c r="C101" s="214">
        <v>172561</v>
      </c>
      <c r="D101" s="160">
        <f>+B101+C101</f>
        <v>230639782</v>
      </c>
      <c r="E101" s="28"/>
      <c r="F101" s="28"/>
      <c r="G101" s="154">
        <f t="shared" si="6"/>
        <v>230639782</v>
      </c>
      <c r="H101" s="154">
        <v>198861093.28</v>
      </c>
    </row>
    <row r="102" spans="1:8" ht="18" hidden="1" customHeight="1" x14ac:dyDescent="0.25">
      <c r="A102" s="70"/>
      <c r="B102" s="147"/>
      <c r="C102" s="228"/>
      <c r="D102" s="161"/>
      <c r="E102" s="16"/>
      <c r="F102" s="16"/>
      <c r="G102" s="164">
        <f t="shared" si="6"/>
        <v>0</v>
      </c>
      <c r="H102" s="164">
        <v>0</v>
      </c>
    </row>
    <row r="103" spans="1:8" ht="18" hidden="1" customHeight="1" x14ac:dyDescent="0.25">
      <c r="A103" s="74" t="s">
        <v>69</v>
      </c>
      <c r="B103" s="144">
        <v>39026853</v>
      </c>
      <c r="C103" s="226">
        <v>0</v>
      </c>
      <c r="D103" s="161">
        <f t="shared" si="4"/>
        <v>39026853</v>
      </c>
      <c r="E103" s="16"/>
      <c r="F103" s="16"/>
      <c r="G103" s="164">
        <f t="shared" si="6"/>
        <v>39026853</v>
      </c>
      <c r="H103" s="164">
        <v>17162383.489999998</v>
      </c>
    </row>
    <row r="104" spans="1:8" ht="18" hidden="1" customHeight="1" x14ac:dyDescent="0.25">
      <c r="A104" s="74" t="s">
        <v>70</v>
      </c>
      <c r="B104" s="144">
        <v>191440368</v>
      </c>
      <c r="C104" s="226">
        <v>0</v>
      </c>
      <c r="D104" s="161">
        <f t="shared" si="4"/>
        <v>191440368</v>
      </c>
      <c r="E104" s="16"/>
      <c r="F104" s="16"/>
      <c r="G104" s="164">
        <f t="shared" si="6"/>
        <v>191440368</v>
      </c>
      <c r="H104" s="164">
        <v>181527569.78999999</v>
      </c>
    </row>
    <row r="105" spans="1:8" ht="18.75" hidden="1" customHeight="1" x14ac:dyDescent="0.25">
      <c r="A105" s="74"/>
      <c r="B105" s="144"/>
      <c r="C105" s="226"/>
      <c r="D105" s="161">
        <f t="shared" si="4"/>
        <v>0</v>
      </c>
      <c r="E105" s="16"/>
      <c r="F105" s="16"/>
      <c r="G105" s="164">
        <f t="shared" si="6"/>
        <v>0</v>
      </c>
      <c r="H105" s="164">
        <v>0</v>
      </c>
    </row>
    <row r="106" spans="1:8" ht="18.75" customHeight="1" x14ac:dyDescent="0.25">
      <c r="A106" s="81"/>
      <c r="B106" s="144"/>
      <c r="C106" s="226"/>
      <c r="D106" s="161">
        <f t="shared" si="4"/>
        <v>0</v>
      </c>
      <c r="E106" s="16"/>
      <c r="F106" s="16"/>
      <c r="G106" s="164">
        <f t="shared" si="6"/>
        <v>0</v>
      </c>
      <c r="H106" s="164">
        <v>0</v>
      </c>
    </row>
    <row r="107" spans="1:8" ht="18.75" customHeight="1" x14ac:dyDescent="0.25">
      <c r="A107" s="72" t="s">
        <v>67</v>
      </c>
      <c r="B107" s="135">
        <f>B109</f>
        <v>139894529</v>
      </c>
      <c r="C107" s="214">
        <v>0</v>
      </c>
      <c r="D107" s="160">
        <f>+B107+C107</f>
        <v>139894529</v>
      </c>
      <c r="E107" s="28"/>
      <c r="F107" s="28"/>
      <c r="G107" s="154">
        <f t="shared" si="6"/>
        <v>139894529</v>
      </c>
      <c r="H107" s="154">
        <v>91464107.719999999</v>
      </c>
    </row>
    <row r="108" spans="1:8" ht="18.75" customHeight="1" x14ac:dyDescent="0.25">
      <c r="A108" s="74"/>
      <c r="B108" s="138"/>
      <c r="C108" s="217"/>
      <c r="D108" s="155"/>
      <c r="E108" s="16"/>
      <c r="F108" s="16"/>
      <c r="G108" s="164">
        <f t="shared" si="6"/>
        <v>0</v>
      </c>
      <c r="H108" s="164">
        <v>0</v>
      </c>
    </row>
    <row r="109" spans="1:8" ht="18.75" hidden="1" customHeight="1" x14ac:dyDescent="0.25">
      <c r="A109" s="74" t="s">
        <v>68</v>
      </c>
      <c r="B109" s="138">
        <v>139894529</v>
      </c>
      <c r="C109" s="217">
        <v>0</v>
      </c>
      <c r="D109" s="155">
        <f t="shared" si="4"/>
        <v>139894529</v>
      </c>
      <c r="E109" s="16"/>
      <c r="F109" s="16"/>
      <c r="G109" s="164">
        <f t="shared" si="6"/>
        <v>139894529</v>
      </c>
      <c r="H109" s="164">
        <v>91464107.719999999</v>
      </c>
    </row>
    <row r="110" spans="1:8" ht="6" hidden="1" customHeight="1" x14ac:dyDescent="0.25">
      <c r="A110" s="81"/>
      <c r="B110" s="138"/>
      <c r="C110" s="217"/>
      <c r="D110" s="155">
        <f t="shared" si="4"/>
        <v>0</v>
      </c>
      <c r="E110" s="16"/>
      <c r="F110" s="16"/>
      <c r="G110" s="164">
        <f t="shared" si="6"/>
        <v>0</v>
      </c>
      <c r="H110" s="164">
        <v>0</v>
      </c>
    </row>
    <row r="111" spans="1:8" ht="6" hidden="1" customHeight="1" x14ac:dyDescent="0.25">
      <c r="A111" s="74"/>
      <c r="B111" s="138"/>
      <c r="C111" s="217"/>
      <c r="D111" s="155">
        <f t="shared" si="4"/>
        <v>0</v>
      </c>
      <c r="E111" s="16"/>
      <c r="F111" s="16"/>
      <c r="G111" s="164">
        <f t="shared" si="6"/>
        <v>0</v>
      </c>
      <c r="H111" s="164">
        <v>0</v>
      </c>
    </row>
    <row r="112" spans="1:8" ht="6" hidden="1" customHeight="1" x14ac:dyDescent="0.25">
      <c r="A112" s="74"/>
      <c r="B112" s="138"/>
      <c r="C112" s="217"/>
      <c r="D112" s="155">
        <f t="shared" si="4"/>
        <v>0</v>
      </c>
      <c r="E112" s="16"/>
      <c r="F112" s="16"/>
      <c r="G112" s="164">
        <f t="shared" si="6"/>
        <v>0</v>
      </c>
      <c r="H112" s="164">
        <v>0</v>
      </c>
    </row>
    <row r="113" spans="1:11" ht="6" hidden="1" customHeight="1" x14ac:dyDescent="0.25">
      <c r="A113" s="74"/>
      <c r="B113" s="138"/>
      <c r="C113" s="217"/>
      <c r="D113" s="155">
        <f t="shared" si="4"/>
        <v>0</v>
      </c>
      <c r="E113" s="16"/>
      <c r="F113" s="16"/>
      <c r="G113" s="164">
        <f t="shared" si="6"/>
        <v>0</v>
      </c>
      <c r="H113" s="164">
        <v>0</v>
      </c>
    </row>
    <row r="114" spans="1:11" ht="6" hidden="1" customHeight="1" x14ac:dyDescent="0.25">
      <c r="A114" s="81"/>
      <c r="B114" s="138"/>
      <c r="C114" s="217"/>
      <c r="D114" s="155">
        <f t="shared" si="4"/>
        <v>0</v>
      </c>
      <c r="E114" s="16"/>
      <c r="F114" s="16"/>
      <c r="G114" s="164">
        <f t="shared" si="6"/>
        <v>0</v>
      </c>
      <c r="H114" s="164">
        <v>0</v>
      </c>
    </row>
    <row r="115" spans="1:11" ht="6" hidden="1" customHeight="1" x14ac:dyDescent="0.25">
      <c r="A115" s="74"/>
      <c r="B115" s="138"/>
      <c r="C115" s="217"/>
      <c r="D115" s="155">
        <f t="shared" si="4"/>
        <v>0</v>
      </c>
      <c r="E115" s="16"/>
      <c r="F115" s="16"/>
      <c r="G115" s="164">
        <f t="shared" si="6"/>
        <v>0</v>
      </c>
      <c r="H115" s="164">
        <v>0</v>
      </c>
    </row>
    <row r="116" spans="1:11" ht="6" hidden="1" customHeight="1" x14ac:dyDescent="0.25">
      <c r="A116" s="74"/>
      <c r="B116" s="138"/>
      <c r="C116" s="217"/>
      <c r="D116" s="155">
        <f t="shared" si="4"/>
        <v>0</v>
      </c>
      <c r="E116" s="16"/>
      <c r="F116" s="16"/>
      <c r="G116" s="164">
        <f t="shared" si="6"/>
        <v>0</v>
      </c>
      <c r="H116" s="164">
        <v>0</v>
      </c>
    </row>
    <row r="117" spans="1:11" ht="6" customHeight="1" thickBot="1" x14ac:dyDescent="0.3">
      <c r="A117" s="74"/>
      <c r="B117" s="138"/>
      <c r="C117" s="217"/>
      <c r="D117" s="155">
        <f t="shared" si="4"/>
        <v>0</v>
      </c>
      <c r="E117" s="16"/>
      <c r="F117" s="16"/>
      <c r="G117" s="164">
        <f t="shared" si="6"/>
        <v>0</v>
      </c>
      <c r="H117" s="164">
        <v>0</v>
      </c>
    </row>
    <row r="118" spans="1:11" ht="18.75" customHeight="1" thickBot="1" x14ac:dyDescent="0.3">
      <c r="A118" s="29" t="s">
        <v>56</v>
      </c>
      <c r="B118" s="143">
        <f>B64+B82+B84+B86+B101+B107</f>
        <v>1049207761.12</v>
      </c>
      <c r="C118" s="225">
        <f>C64+C82+C84+C86+C101+C107</f>
        <v>2526921</v>
      </c>
      <c r="D118" s="159">
        <f>+B118+C118</f>
        <v>1051734682.12</v>
      </c>
      <c r="E118" s="30">
        <f>SUM(E64:E108)</f>
        <v>507238</v>
      </c>
      <c r="F118" s="30">
        <f>+F64+F82+F86</f>
        <v>124281</v>
      </c>
      <c r="G118" s="143">
        <f>+D118-E118-F118</f>
        <v>1051103163.12</v>
      </c>
      <c r="H118" s="143">
        <v>927701911.22000003</v>
      </c>
      <c r="I118" s="12"/>
      <c r="J118" s="117"/>
      <c r="K118" s="117"/>
    </row>
    <row r="119" spans="1:11" ht="16" thickBot="1" x14ac:dyDescent="0.3">
      <c r="A119" s="90" t="s">
        <v>57</v>
      </c>
      <c r="B119" s="151">
        <f>B59</f>
        <v>279821860</v>
      </c>
      <c r="C119" s="234">
        <v>0</v>
      </c>
      <c r="D119" s="163">
        <f t="shared" si="4"/>
        <v>279821860</v>
      </c>
      <c r="E119" s="93"/>
      <c r="F119" s="93"/>
      <c r="G119" s="163">
        <f>+D119+E119-F119</f>
        <v>279821860</v>
      </c>
      <c r="H119" s="163">
        <v>279701992.16000003</v>
      </c>
    </row>
    <row r="121" spans="1:11" x14ac:dyDescent="0.25">
      <c r="B121" s="10"/>
      <c r="D121" s="116"/>
      <c r="G121" s="116"/>
      <c r="H121" s="116"/>
    </row>
    <row r="122" spans="1:11" x14ac:dyDescent="0.25">
      <c r="B122" s="10"/>
      <c r="D122" s="116"/>
      <c r="G122" s="116"/>
      <c r="H122" s="116"/>
    </row>
    <row r="123" spans="1:11" x14ac:dyDescent="0.25">
      <c r="D123" s="116"/>
      <c r="G123" s="116"/>
      <c r="H123" s="116"/>
    </row>
    <row r="124" spans="1:11" x14ac:dyDescent="0.25">
      <c r="G124" s="116"/>
      <c r="H124" s="116"/>
    </row>
    <row r="126" spans="1:11" x14ac:dyDescent="0.25">
      <c r="E126" s="10">
        <v>43875</v>
      </c>
    </row>
  </sheetData>
  <mergeCells count="4">
    <mergeCell ref="B80:B81"/>
    <mergeCell ref="A99:A100"/>
    <mergeCell ref="B99:B100"/>
    <mergeCell ref="A1:H1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6"/>
  <sheetViews>
    <sheetView zoomScale="78" zoomScaleNormal="78" workbookViewId="0">
      <selection sqref="A1:XFD1048576"/>
    </sheetView>
  </sheetViews>
  <sheetFormatPr defaultColWidth="9.1796875" defaultRowHeight="15.5" x14ac:dyDescent="0.25"/>
  <cols>
    <col min="1" max="1" width="61.26953125" style="8" customWidth="1"/>
    <col min="2" max="2" width="17.7265625" style="10" customWidth="1"/>
    <col min="3" max="3" width="18.26953125" style="8" customWidth="1"/>
    <col min="4" max="4" width="21" style="9" customWidth="1"/>
    <col min="5" max="6" width="19.1796875" style="10" customWidth="1"/>
    <col min="7" max="7" width="20.54296875" style="9" customWidth="1"/>
    <col min="8" max="8" width="20.54296875" style="9" hidden="1" customWidth="1"/>
    <col min="9" max="9" width="20.54296875" style="8" customWidth="1"/>
    <col min="10" max="10" width="15.81640625" style="8" bestFit="1" customWidth="1"/>
    <col min="11" max="11" width="13.26953125" style="8" customWidth="1"/>
    <col min="12" max="12" width="16" style="8" bestFit="1" customWidth="1"/>
    <col min="13" max="16384" width="9.1796875" style="8"/>
  </cols>
  <sheetData>
    <row r="1" spans="1:12" s="17" customFormat="1" ht="33.75" customHeight="1" thickBot="1" x14ac:dyDescent="0.3">
      <c r="A1" s="597" t="s">
        <v>140</v>
      </c>
      <c r="B1" s="598"/>
      <c r="C1" s="598"/>
      <c r="D1" s="598"/>
      <c r="E1" s="598"/>
      <c r="F1" s="598"/>
      <c r="G1" s="598"/>
      <c r="H1" s="598"/>
      <c r="I1" s="601"/>
    </row>
    <row r="2" spans="1:12" ht="31.5" thickBot="1" x14ac:dyDescent="0.3">
      <c r="A2" s="29" t="s">
        <v>58</v>
      </c>
      <c r="B2" s="276" t="s">
        <v>71</v>
      </c>
      <c r="C2" s="198" t="s">
        <v>72</v>
      </c>
      <c r="D2" s="152" t="s">
        <v>73</v>
      </c>
      <c r="E2" s="133" t="s">
        <v>157</v>
      </c>
      <c r="F2" s="133" t="s">
        <v>158</v>
      </c>
      <c r="G2" s="152" t="s">
        <v>163</v>
      </c>
      <c r="H2" s="152" t="s">
        <v>154</v>
      </c>
      <c r="I2" s="152" t="s">
        <v>161</v>
      </c>
    </row>
    <row r="3" spans="1:12" ht="18" customHeight="1" x14ac:dyDescent="0.25">
      <c r="A3" s="70"/>
      <c r="B3" s="277"/>
      <c r="C3" s="213"/>
      <c r="D3" s="153"/>
      <c r="E3" s="16"/>
      <c r="F3" s="16"/>
      <c r="G3" s="153"/>
      <c r="H3" s="153"/>
    </row>
    <row r="4" spans="1:12" ht="18" customHeight="1" x14ac:dyDescent="0.25">
      <c r="A4" s="72" t="s">
        <v>170</v>
      </c>
      <c r="B4" s="273">
        <f>B6+B14+B24</f>
        <v>312949730.47000003</v>
      </c>
      <c r="C4" s="289">
        <f>C6+C14+C24</f>
        <v>211738</v>
      </c>
      <c r="D4" s="154">
        <f>+B4+C4</f>
        <v>313161468.47000003</v>
      </c>
      <c r="E4" s="264"/>
      <c r="F4" s="264"/>
      <c r="G4" s="154">
        <f>G6+G14+G24</f>
        <v>313101468.47000003</v>
      </c>
      <c r="H4" s="154">
        <v>308138978.63</v>
      </c>
      <c r="I4" s="154">
        <v>313116189</v>
      </c>
    </row>
    <row r="5" spans="1:12" ht="18" customHeight="1" x14ac:dyDescent="0.25">
      <c r="A5" s="74"/>
      <c r="B5" s="278"/>
      <c r="C5" s="290"/>
      <c r="D5" s="155"/>
      <c r="E5" s="265"/>
      <c r="F5" s="265"/>
      <c r="G5" s="164">
        <f t="shared" ref="G5:G23" si="0">+D5+E5-F5</f>
        <v>0</v>
      </c>
      <c r="H5" s="164">
        <v>0</v>
      </c>
      <c r="I5" s="164">
        <v>0</v>
      </c>
    </row>
    <row r="6" spans="1:12" ht="18" customHeight="1" x14ac:dyDescent="0.25">
      <c r="A6" s="76" t="s">
        <v>1</v>
      </c>
      <c r="B6" s="272">
        <f>B8+B9+B10+B11+B12</f>
        <v>9570545.2200000007</v>
      </c>
      <c r="C6" s="291">
        <v>2674</v>
      </c>
      <c r="D6" s="156">
        <f>+B6+C6</f>
        <v>9573219.2200000007</v>
      </c>
      <c r="E6" s="266"/>
      <c r="F6" s="266"/>
      <c r="G6" s="156">
        <f t="shared" si="0"/>
        <v>9573219.2200000007</v>
      </c>
      <c r="H6" s="156">
        <v>1292863.48</v>
      </c>
      <c r="I6" s="156">
        <v>6323386</v>
      </c>
    </row>
    <row r="7" spans="1:12" ht="18" customHeight="1" x14ac:dyDescent="0.25">
      <c r="A7" s="74"/>
      <c r="B7" s="279"/>
      <c r="C7" s="290"/>
      <c r="D7" s="155"/>
      <c r="E7" s="265"/>
      <c r="F7" s="265"/>
      <c r="G7" s="164">
        <f t="shared" si="0"/>
        <v>0</v>
      </c>
      <c r="H7" s="164">
        <v>0</v>
      </c>
      <c r="I7" s="164">
        <v>0</v>
      </c>
    </row>
    <row r="8" spans="1:12" ht="18" hidden="1" customHeight="1" x14ac:dyDescent="0.25">
      <c r="A8" s="74" t="s">
        <v>2</v>
      </c>
      <c r="B8" s="279">
        <v>0</v>
      </c>
      <c r="C8" s="292">
        <v>0</v>
      </c>
      <c r="D8" s="155">
        <f t="shared" ref="D8:D59" si="1">+B8+C8</f>
        <v>0</v>
      </c>
      <c r="E8" s="265"/>
      <c r="F8" s="265"/>
      <c r="G8" s="164">
        <f t="shared" si="0"/>
        <v>0</v>
      </c>
      <c r="H8" s="164">
        <v>0</v>
      </c>
      <c r="I8" s="164">
        <v>0</v>
      </c>
    </row>
    <row r="9" spans="1:12" ht="18" hidden="1" customHeight="1" x14ac:dyDescent="0.25">
      <c r="A9" s="74" t="s">
        <v>3</v>
      </c>
      <c r="B9" s="279">
        <v>861554.28</v>
      </c>
      <c r="C9" s="292">
        <v>0</v>
      </c>
      <c r="D9" s="155">
        <f t="shared" si="1"/>
        <v>861554.28</v>
      </c>
      <c r="E9" s="265"/>
      <c r="F9" s="265"/>
      <c r="G9" s="164">
        <f t="shared" si="0"/>
        <v>861554.28</v>
      </c>
      <c r="H9" s="164">
        <v>596076.77</v>
      </c>
      <c r="I9" s="164">
        <v>798141</v>
      </c>
    </row>
    <row r="10" spans="1:12" ht="18" hidden="1" customHeight="1" x14ac:dyDescent="0.25">
      <c r="A10" s="74" t="s">
        <v>4</v>
      </c>
      <c r="B10" s="279">
        <v>90139.18</v>
      </c>
      <c r="C10" s="292">
        <v>0</v>
      </c>
      <c r="D10" s="155">
        <f t="shared" si="1"/>
        <v>90139.18</v>
      </c>
      <c r="E10" s="265"/>
      <c r="F10" s="265"/>
      <c r="G10" s="164">
        <f t="shared" si="0"/>
        <v>90139.18</v>
      </c>
      <c r="H10" s="164">
        <v>125599.31</v>
      </c>
      <c r="I10" s="164">
        <v>107439</v>
      </c>
      <c r="L10" s="12"/>
    </row>
    <row r="11" spans="1:12" ht="18" hidden="1" customHeight="1" x14ac:dyDescent="0.25">
      <c r="A11" s="74" t="s">
        <v>5</v>
      </c>
      <c r="B11" s="279">
        <v>8263272.2699999996</v>
      </c>
      <c r="C11" s="292">
        <v>0</v>
      </c>
      <c r="D11" s="155">
        <f t="shared" si="1"/>
        <v>8263272.2699999996</v>
      </c>
      <c r="E11" s="265"/>
      <c r="F11" s="265"/>
      <c r="G11" s="164">
        <f t="shared" si="0"/>
        <v>8263272.2699999996</v>
      </c>
      <c r="H11" s="164">
        <v>0</v>
      </c>
      <c r="I11" s="164">
        <v>4913292</v>
      </c>
    </row>
    <row r="12" spans="1:12" ht="18" hidden="1" customHeight="1" x14ac:dyDescent="0.25">
      <c r="A12" s="74" t="s">
        <v>6</v>
      </c>
      <c r="B12" s="279">
        <v>355579.49</v>
      </c>
      <c r="C12" s="292">
        <v>0</v>
      </c>
      <c r="D12" s="155">
        <f t="shared" si="1"/>
        <v>355579.49</v>
      </c>
      <c r="E12" s="265"/>
      <c r="F12" s="265"/>
      <c r="G12" s="164">
        <f t="shared" si="0"/>
        <v>355579.49</v>
      </c>
      <c r="H12" s="164">
        <v>562700.4</v>
      </c>
      <c r="I12" s="164">
        <v>497314</v>
      </c>
    </row>
    <row r="13" spans="1:12" ht="18" hidden="1" customHeight="1" x14ac:dyDescent="0.25">
      <c r="A13" s="78"/>
      <c r="B13" s="280"/>
      <c r="C13" s="293"/>
      <c r="D13" s="155">
        <f t="shared" si="1"/>
        <v>0</v>
      </c>
      <c r="E13" s="265"/>
      <c r="F13" s="265"/>
      <c r="G13" s="164">
        <f t="shared" si="0"/>
        <v>0</v>
      </c>
      <c r="H13" s="164">
        <v>0</v>
      </c>
      <c r="I13" s="164">
        <v>0</v>
      </c>
    </row>
    <row r="14" spans="1:12" ht="18" customHeight="1" x14ac:dyDescent="0.25">
      <c r="A14" s="76" t="s">
        <v>7</v>
      </c>
      <c r="B14" s="272">
        <f>B16+B17+B18+B19+B20+B21+B22</f>
        <v>302909933.25</v>
      </c>
      <c r="C14" s="291">
        <v>108609</v>
      </c>
      <c r="D14" s="156">
        <f t="shared" si="1"/>
        <v>303018542.25</v>
      </c>
      <c r="E14" s="266"/>
      <c r="F14" s="266"/>
      <c r="G14" s="156">
        <f t="shared" si="0"/>
        <v>303018542.25</v>
      </c>
      <c r="H14" s="156">
        <v>306294692</v>
      </c>
      <c r="I14" s="156">
        <v>306269620</v>
      </c>
    </row>
    <row r="15" spans="1:12" ht="18" customHeight="1" x14ac:dyDescent="0.25">
      <c r="A15" s="74"/>
      <c r="B15" s="279"/>
      <c r="C15" s="290"/>
      <c r="D15" s="155"/>
      <c r="E15" s="265"/>
      <c r="F15" s="265"/>
      <c r="G15" s="164">
        <f t="shared" si="0"/>
        <v>0</v>
      </c>
      <c r="H15" s="164">
        <v>0</v>
      </c>
      <c r="I15" s="164">
        <v>0</v>
      </c>
    </row>
    <row r="16" spans="1:12" ht="18" hidden="1" customHeight="1" x14ac:dyDescent="0.25">
      <c r="A16" s="74" t="s">
        <v>8</v>
      </c>
      <c r="B16" s="279">
        <v>183688077.53</v>
      </c>
      <c r="C16" s="292">
        <v>0</v>
      </c>
      <c r="D16" s="155">
        <f t="shared" si="1"/>
        <v>183688077.53</v>
      </c>
      <c r="E16" s="265"/>
      <c r="F16" s="265"/>
      <c r="G16" s="164">
        <f t="shared" si="0"/>
        <v>183688077.53</v>
      </c>
      <c r="H16" s="164">
        <v>165241506.40000001</v>
      </c>
      <c r="I16" s="164">
        <v>161188664</v>
      </c>
    </row>
    <row r="17" spans="1:9" ht="18" hidden="1" customHeight="1" x14ac:dyDescent="0.25">
      <c r="A17" s="74" t="s">
        <v>9</v>
      </c>
      <c r="B17" s="279">
        <v>11330055.07</v>
      </c>
      <c r="C17" s="292">
        <v>0</v>
      </c>
      <c r="D17" s="155">
        <f t="shared" si="1"/>
        <v>11330055.07</v>
      </c>
      <c r="E17" s="265"/>
      <c r="F17" s="265"/>
      <c r="G17" s="164">
        <f t="shared" si="0"/>
        <v>11330055.07</v>
      </c>
      <c r="H17" s="164">
        <v>7931024.6500000004</v>
      </c>
      <c r="I17" s="164">
        <v>9162513</v>
      </c>
    </row>
    <row r="18" spans="1:9" ht="18" hidden="1" customHeight="1" x14ac:dyDescent="0.25">
      <c r="A18" s="74" t="s">
        <v>10</v>
      </c>
      <c r="B18" s="279">
        <v>16790164.550000001</v>
      </c>
      <c r="C18" s="292">
        <v>0</v>
      </c>
      <c r="D18" s="155">
        <f t="shared" si="1"/>
        <v>16790164.550000001</v>
      </c>
      <c r="E18" s="265"/>
      <c r="F18" s="265"/>
      <c r="G18" s="164">
        <f t="shared" si="0"/>
        <v>16790164.550000001</v>
      </c>
      <c r="H18" s="164">
        <v>19482058.66</v>
      </c>
      <c r="I18" s="164">
        <v>19204439</v>
      </c>
    </row>
    <row r="19" spans="1:9" ht="18" hidden="1" customHeight="1" x14ac:dyDescent="0.25">
      <c r="A19" s="74" t="s">
        <v>11</v>
      </c>
      <c r="B19" s="279">
        <v>34042900.649999999</v>
      </c>
      <c r="C19" s="292">
        <v>0</v>
      </c>
      <c r="D19" s="155">
        <f t="shared" si="1"/>
        <v>34042900.649999999</v>
      </c>
      <c r="E19" s="265"/>
      <c r="F19" s="265"/>
      <c r="G19" s="164">
        <f t="shared" si="0"/>
        <v>34042900.649999999</v>
      </c>
      <c r="H19" s="164">
        <v>33426249.41</v>
      </c>
      <c r="I19" s="164">
        <v>33864967</v>
      </c>
    </row>
    <row r="20" spans="1:9" ht="18" hidden="1" customHeight="1" x14ac:dyDescent="0.25">
      <c r="A20" s="74" t="s">
        <v>12</v>
      </c>
      <c r="B20" s="279">
        <v>5951696.4100000001</v>
      </c>
      <c r="C20" s="292">
        <v>0</v>
      </c>
      <c r="D20" s="155">
        <f t="shared" si="1"/>
        <v>5951696.4100000001</v>
      </c>
      <c r="E20" s="265"/>
      <c r="F20" s="265"/>
      <c r="G20" s="164">
        <f t="shared" si="0"/>
        <v>5951696.4100000001</v>
      </c>
      <c r="H20" s="164">
        <v>4498994.55</v>
      </c>
      <c r="I20" s="164">
        <v>4887846</v>
      </c>
    </row>
    <row r="21" spans="1:9" ht="18" hidden="1" customHeight="1" x14ac:dyDescent="0.25">
      <c r="A21" s="74" t="s">
        <v>13</v>
      </c>
      <c r="B21" s="279">
        <v>50940528.280000001</v>
      </c>
      <c r="C21" s="292">
        <v>0</v>
      </c>
      <c r="D21" s="155">
        <f t="shared" si="1"/>
        <v>50940528.280000001</v>
      </c>
      <c r="E21" s="265"/>
      <c r="F21" s="265"/>
      <c r="G21" s="164">
        <f t="shared" si="0"/>
        <v>50940528.280000001</v>
      </c>
      <c r="H21" s="164">
        <v>75408657.090000004</v>
      </c>
      <c r="I21" s="164">
        <v>77732894</v>
      </c>
    </row>
    <row r="22" spans="1:9" ht="18" hidden="1" customHeight="1" x14ac:dyDescent="0.25">
      <c r="A22" s="74" t="s">
        <v>14</v>
      </c>
      <c r="B22" s="279">
        <v>166510.76</v>
      </c>
      <c r="C22" s="292">
        <v>0</v>
      </c>
      <c r="D22" s="155">
        <f t="shared" si="1"/>
        <v>166510.76</v>
      </c>
      <c r="E22" s="265"/>
      <c r="F22" s="265"/>
      <c r="G22" s="164">
        <f t="shared" si="0"/>
        <v>166510.76</v>
      </c>
      <c r="H22" s="164">
        <v>195366.24</v>
      </c>
      <c r="I22" s="164">
        <v>136082</v>
      </c>
    </row>
    <row r="23" spans="1:9" ht="18" hidden="1" customHeight="1" x14ac:dyDescent="0.25">
      <c r="A23" s="78"/>
      <c r="B23" s="280"/>
      <c r="C23" s="293"/>
      <c r="D23" s="155">
        <f t="shared" si="1"/>
        <v>0</v>
      </c>
      <c r="E23" s="265"/>
      <c r="F23" s="265"/>
      <c r="G23" s="164">
        <f t="shared" si="0"/>
        <v>0</v>
      </c>
      <c r="H23" s="164">
        <v>0</v>
      </c>
      <c r="I23" s="164">
        <v>0</v>
      </c>
    </row>
    <row r="24" spans="1:9" ht="18" customHeight="1" x14ac:dyDescent="0.25">
      <c r="A24" s="76" t="s">
        <v>15</v>
      </c>
      <c r="B24" s="272">
        <v>469252</v>
      </c>
      <c r="C24" s="294">
        <v>100455</v>
      </c>
      <c r="D24" s="156">
        <f t="shared" si="1"/>
        <v>569707</v>
      </c>
      <c r="E24" s="167">
        <v>60000</v>
      </c>
      <c r="F24" s="267"/>
      <c r="G24" s="156">
        <f>+D24-E24-F24</f>
        <v>509707</v>
      </c>
      <c r="H24" s="156">
        <v>551423.15</v>
      </c>
      <c r="I24" s="156">
        <v>523183</v>
      </c>
    </row>
    <row r="25" spans="1:9" ht="18" hidden="1" customHeight="1" x14ac:dyDescent="0.25">
      <c r="A25" s="74"/>
      <c r="B25" s="278"/>
      <c r="C25" s="255"/>
      <c r="D25" s="155">
        <f t="shared" si="1"/>
        <v>0</v>
      </c>
      <c r="E25" s="265"/>
      <c r="F25" s="265"/>
      <c r="G25" s="164">
        <f>+D25+E25-F25</f>
        <v>0</v>
      </c>
      <c r="H25" s="164">
        <v>0</v>
      </c>
      <c r="I25" s="164">
        <v>0</v>
      </c>
    </row>
    <row r="26" spans="1:9" ht="18" customHeight="1" x14ac:dyDescent="0.25">
      <c r="A26" s="78"/>
      <c r="B26" s="280"/>
      <c r="C26" s="256"/>
      <c r="D26" s="155"/>
      <c r="E26" s="265"/>
      <c r="F26" s="265"/>
      <c r="G26" s="164">
        <f>+D26+E26-F26</f>
        <v>0</v>
      </c>
      <c r="H26" s="164">
        <v>0</v>
      </c>
      <c r="I26" s="164">
        <v>0</v>
      </c>
    </row>
    <row r="27" spans="1:9" ht="18" customHeight="1" x14ac:dyDescent="0.25">
      <c r="A27" s="72" t="s">
        <v>52</v>
      </c>
      <c r="B27" s="273">
        <f>B29+B31+B43+B45</f>
        <v>759550613.45000005</v>
      </c>
      <c r="C27" s="289">
        <f>C29+C31+C43+C45</f>
        <v>1516970</v>
      </c>
      <c r="D27" s="154">
        <f t="shared" si="1"/>
        <v>761067583.45000005</v>
      </c>
      <c r="E27" s="264"/>
      <c r="F27" s="264"/>
      <c r="G27" s="154">
        <f>G28+G29+G31+G45</f>
        <v>760560754.27999997</v>
      </c>
      <c r="H27" s="154">
        <v>608484630.73000002</v>
      </c>
      <c r="I27" s="154">
        <v>723867400</v>
      </c>
    </row>
    <row r="28" spans="1:9" ht="18" customHeight="1" x14ac:dyDescent="0.25">
      <c r="A28" s="79"/>
      <c r="B28" s="280"/>
      <c r="C28" s="257"/>
      <c r="D28" s="155"/>
      <c r="E28" s="265"/>
      <c r="F28" s="265"/>
      <c r="G28" s="155">
        <f>+D28+E28-F28</f>
        <v>0</v>
      </c>
      <c r="H28" s="155">
        <v>0</v>
      </c>
      <c r="I28" s="155">
        <v>0</v>
      </c>
    </row>
    <row r="29" spans="1:9" ht="18" customHeight="1" x14ac:dyDescent="0.25">
      <c r="A29" s="76" t="s">
        <v>53</v>
      </c>
      <c r="B29" s="272">
        <v>8482310</v>
      </c>
      <c r="C29" s="294">
        <v>0</v>
      </c>
      <c r="D29" s="156">
        <f t="shared" si="1"/>
        <v>8482310</v>
      </c>
      <c r="E29" s="266"/>
      <c r="F29" s="266"/>
      <c r="G29" s="156">
        <f>+D29+E29-F29</f>
        <v>8482310</v>
      </c>
      <c r="H29" s="156">
        <v>22720.42</v>
      </c>
      <c r="I29" s="156">
        <v>214711</v>
      </c>
    </row>
    <row r="30" spans="1:9" ht="18" customHeight="1" x14ac:dyDescent="0.25">
      <c r="A30" s="74"/>
      <c r="B30" s="278"/>
      <c r="C30" s="255"/>
      <c r="D30" s="155"/>
      <c r="E30" s="265"/>
      <c r="F30" s="265"/>
      <c r="G30" s="164">
        <f>+D30+E30-F30</f>
        <v>0</v>
      </c>
      <c r="H30" s="164">
        <v>0</v>
      </c>
      <c r="I30" s="164">
        <v>0</v>
      </c>
    </row>
    <row r="31" spans="1:9" ht="18" customHeight="1" x14ac:dyDescent="0.25">
      <c r="A31" s="76" t="s">
        <v>60</v>
      </c>
      <c r="B31" s="272">
        <f>B33+B34+B35+B36+B37+B38+B39+B40+B41</f>
        <v>238418021.21000001</v>
      </c>
      <c r="C31" s="291">
        <v>691699</v>
      </c>
      <c r="D31" s="156">
        <f t="shared" si="1"/>
        <v>239109720.21000001</v>
      </c>
      <c r="E31" s="167">
        <v>14165.79</v>
      </c>
      <c r="F31" s="167">
        <f>415949.2+76714.18</f>
        <v>492663.38</v>
      </c>
      <c r="G31" s="156">
        <f>+D31-E31-F31</f>
        <v>238602891.04000002</v>
      </c>
      <c r="H31" s="156">
        <v>228943227.95999998</v>
      </c>
      <c r="I31" s="156">
        <v>263731406</v>
      </c>
    </row>
    <row r="32" spans="1:9" ht="18" customHeight="1" x14ac:dyDescent="0.25">
      <c r="A32" s="74"/>
      <c r="B32" s="279"/>
      <c r="C32" s="254"/>
      <c r="D32" s="155"/>
      <c r="E32" s="265"/>
      <c r="F32" s="265"/>
      <c r="G32" s="164">
        <f t="shared" ref="G32:G57" si="2">+D32+E32-F32</f>
        <v>0</v>
      </c>
      <c r="H32" s="164">
        <v>0</v>
      </c>
      <c r="I32" s="164">
        <v>0</v>
      </c>
    </row>
    <row r="33" spans="1:10" ht="18" hidden="1" customHeight="1" x14ac:dyDescent="0.25">
      <c r="A33" s="74" t="s">
        <v>16</v>
      </c>
      <c r="B33" s="279">
        <v>18512467.760000002</v>
      </c>
      <c r="C33" s="292">
        <v>0</v>
      </c>
      <c r="D33" s="155">
        <f t="shared" si="1"/>
        <v>18512467.760000002</v>
      </c>
      <c r="E33" s="265"/>
      <c r="F33" s="265"/>
      <c r="G33" s="164">
        <f t="shared" si="2"/>
        <v>18512467.760000002</v>
      </c>
      <c r="H33" s="164">
        <v>49743521.899999999</v>
      </c>
      <c r="I33" s="164">
        <v>24307054</v>
      </c>
    </row>
    <row r="34" spans="1:10" ht="18" hidden="1" customHeight="1" x14ac:dyDescent="0.25">
      <c r="A34" s="74" t="s">
        <v>17</v>
      </c>
      <c r="B34" s="279">
        <v>26079003.149999999</v>
      </c>
      <c r="C34" s="292">
        <v>0</v>
      </c>
      <c r="D34" s="155">
        <f t="shared" si="1"/>
        <v>26079003.149999999</v>
      </c>
      <c r="E34" s="265"/>
      <c r="F34" s="265"/>
      <c r="G34" s="164">
        <f t="shared" si="2"/>
        <v>26079003.149999999</v>
      </c>
      <c r="H34" s="164">
        <v>14726259.109999999</v>
      </c>
      <c r="I34" s="164">
        <v>35913176</v>
      </c>
    </row>
    <row r="35" spans="1:10" ht="18" hidden="1" customHeight="1" x14ac:dyDescent="0.25">
      <c r="A35" s="74" t="s">
        <v>18</v>
      </c>
      <c r="B35" s="279">
        <v>4291510.24</v>
      </c>
      <c r="C35" s="292">
        <v>0</v>
      </c>
      <c r="D35" s="155">
        <f t="shared" si="1"/>
        <v>4291510.24</v>
      </c>
      <c r="E35" s="265"/>
      <c r="F35" s="265"/>
      <c r="G35" s="164">
        <f t="shared" si="2"/>
        <v>4291510.24</v>
      </c>
      <c r="H35" s="164">
        <v>427812.65</v>
      </c>
      <c r="I35" s="164">
        <v>4578200</v>
      </c>
    </row>
    <row r="36" spans="1:10" ht="18" hidden="1" customHeight="1" x14ac:dyDescent="0.25">
      <c r="A36" s="74" t="s">
        <v>62</v>
      </c>
      <c r="B36" s="279">
        <v>47184794.850000001</v>
      </c>
      <c r="C36" s="292">
        <v>0</v>
      </c>
      <c r="D36" s="155">
        <f t="shared" si="1"/>
        <v>47184794.850000001</v>
      </c>
      <c r="E36" s="265"/>
      <c r="F36" s="265"/>
      <c r="G36" s="164">
        <f t="shared" si="2"/>
        <v>47184794.850000001</v>
      </c>
      <c r="H36" s="164">
        <v>24334206.059999999</v>
      </c>
      <c r="I36" s="164">
        <v>45822280</v>
      </c>
    </row>
    <row r="37" spans="1:10" ht="18" hidden="1" customHeight="1" x14ac:dyDescent="0.25">
      <c r="A37" s="74" t="s">
        <v>19</v>
      </c>
      <c r="B37" s="279">
        <v>1721708.84</v>
      </c>
      <c r="C37" s="292">
        <v>0</v>
      </c>
      <c r="D37" s="155">
        <f t="shared" si="1"/>
        <v>1721708.84</v>
      </c>
      <c r="E37" s="265"/>
      <c r="F37" s="265"/>
      <c r="G37" s="164">
        <f t="shared" si="2"/>
        <v>1721708.84</v>
      </c>
      <c r="H37" s="164">
        <v>1667494.73</v>
      </c>
      <c r="I37" s="164">
        <v>1704382</v>
      </c>
    </row>
    <row r="38" spans="1:10" ht="18" hidden="1" customHeight="1" x14ac:dyDescent="0.25">
      <c r="A38" s="74" t="s">
        <v>20</v>
      </c>
      <c r="B38" s="279">
        <v>89591158.150000006</v>
      </c>
      <c r="C38" s="292">
        <v>0</v>
      </c>
      <c r="D38" s="155">
        <f t="shared" si="1"/>
        <v>89591158.150000006</v>
      </c>
      <c r="E38" s="265"/>
      <c r="F38" s="265"/>
      <c r="G38" s="164">
        <f t="shared" si="2"/>
        <v>89591158.150000006</v>
      </c>
      <c r="H38" s="164">
        <v>93843687.069999993</v>
      </c>
      <c r="I38" s="164">
        <v>105696406</v>
      </c>
    </row>
    <row r="39" spans="1:10" ht="18" hidden="1" customHeight="1" x14ac:dyDescent="0.25">
      <c r="A39" s="74" t="s">
        <v>21</v>
      </c>
      <c r="B39" s="279">
        <v>0</v>
      </c>
      <c r="C39" s="292">
        <v>0</v>
      </c>
      <c r="D39" s="155">
        <f t="shared" si="1"/>
        <v>0</v>
      </c>
      <c r="E39" s="265"/>
      <c r="F39" s="265"/>
      <c r="G39" s="164">
        <f t="shared" si="2"/>
        <v>0</v>
      </c>
      <c r="H39" s="164">
        <v>0</v>
      </c>
      <c r="I39" s="164">
        <v>0</v>
      </c>
    </row>
    <row r="40" spans="1:10" ht="18" hidden="1" customHeight="1" x14ac:dyDescent="0.25">
      <c r="A40" s="74" t="s">
        <v>22</v>
      </c>
      <c r="B40" s="279">
        <v>12433171.32</v>
      </c>
      <c r="C40" s="292">
        <v>0</v>
      </c>
      <c r="D40" s="155">
        <f t="shared" si="1"/>
        <v>12433171.32</v>
      </c>
      <c r="E40" s="265"/>
      <c r="F40" s="265"/>
      <c r="G40" s="164">
        <f t="shared" si="2"/>
        <v>12433171.32</v>
      </c>
      <c r="H40" s="164">
        <v>8567762.6500000004</v>
      </c>
      <c r="I40" s="164">
        <v>11194247</v>
      </c>
    </row>
    <row r="41" spans="1:10" ht="18" hidden="1" customHeight="1" x14ac:dyDescent="0.25">
      <c r="A41" s="74" t="s">
        <v>23</v>
      </c>
      <c r="B41" s="279">
        <v>38604206.899999999</v>
      </c>
      <c r="C41" s="292">
        <v>0</v>
      </c>
      <c r="D41" s="155">
        <f t="shared" si="1"/>
        <v>38604206.899999999</v>
      </c>
      <c r="E41" s="265"/>
      <c r="F41" s="265"/>
      <c r="G41" s="164">
        <f t="shared" si="2"/>
        <v>38604206.899999999</v>
      </c>
      <c r="H41" s="164">
        <v>35563437.789999999</v>
      </c>
      <c r="I41" s="164">
        <v>33942621</v>
      </c>
    </row>
    <row r="42" spans="1:10" ht="18" hidden="1" customHeight="1" x14ac:dyDescent="0.25">
      <c r="A42" s="78"/>
      <c r="B42" s="281"/>
      <c r="C42" s="293"/>
      <c r="D42" s="155">
        <f t="shared" si="1"/>
        <v>0</v>
      </c>
      <c r="E42" s="265"/>
      <c r="F42" s="265"/>
      <c r="G42" s="164">
        <f t="shared" si="2"/>
        <v>0</v>
      </c>
      <c r="H42" s="164">
        <v>0</v>
      </c>
      <c r="I42" s="164">
        <v>0</v>
      </c>
    </row>
    <row r="43" spans="1:10" ht="18" customHeight="1" x14ac:dyDescent="0.25">
      <c r="A43" s="76" t="s">
        <v>24</v>
      </c>
      <c r="B43" s="272">
        <v>0</v>
      </c>
      <c r="C43" s="294">
        <v>0</v>
      </c>
      <c r="D43" s="157">
        <v>0</v>
      </c>
      <c r="E43" s="266"/>
      <c r="F43" s="266"/>
      <c r="G43" s="156">
        <f t="shared" si="2"/>
        <v>0</v>
      </c>
      <c r="H43" s="156">
        <v>0</v>
      </c>
      <c r="I43" s="156">
        <v>0</v>
      </c>
    </row>
    <row r="44" spans="1:10" ht="18" customHeight="1" x14ac:dyDescent="0.25">
      <c r="A44" s="81"/>
      <c r="B44" s="280"/>
      <c r="C44" s="256"/>
      <c r="D44" s="155"/>
      <c r="E44" s="265"/>
      <c r="F44" s="265"/>
      <c r="G44" s="164">
        <f t="shared" si="2"/>
        <v>0</v>
      </c>
      <c r="H44" s="164">
        <v>0</v>
      </c>
      <c r="I44" s="164">
        <v>0</v>
      </c>
    </row>
    <row r="45" spans="1:10" ht="18" customHeight="1" x14ac:dyDescent="0.25">
      <c r="A45" s="76" t="s">
        <v>25</v>
      </c>
      <c r="B45" s="272">
        <f>B47+B48</f>
        <v>512650282.24000001</v>
      </c>
      <c r="C45" s="291">
        <v>825271</v>
      </c>
      <c r="D45" s="156">
        <f t="shared" si="1"/>
        <v>513475553.24000001</v>
      </c>
      <c r="E45" s="266"/>
      <c r="F45" s="266"/>
      <c r="G45" s="156">
        <f t="shared" si="2"/>
        <v>513475553.24000001</v>
      </c>
      <c r="H45" s="156">
        <v>379518682.35000002</v>
      </c>
      <c r="I45" s="156">
        <v>459921283</v>
      </c>
      <c r="J45" s="13"/>
    </row>
    <row r="46" spans="1:10" ht="18" customHeight="1" x14ac:dyDescent="0.25">
      <c r="A46" s="74"/>
      <c r="B46" s="279"/>
      <c r="C46" s="254"/>
      <c r="D46" s="155"/>
      <c r="E46" s="265"/>
      <c r="F46" s="265"/>
      <c r="G46" s="164">
        <f t="shared" si="2"/>
        <v>0</v>
      </c>
      <c r="H46" s="164">
        <v>0</v>
      </c>
      <c r="I46" s="164">
        <v>0</v>
      </c>
    </row>
    <row r="47" spans="1:10" ht="18" hidden="1" customHeight="1" x14ac:dyDescent="0.25">
      <c r="A47" s="74" t="s">
        <v>26</v>
      </c>
      <c r="B47" s="279">
        <v>512640174.00999999</v>
      </c>
      <c r="C47" s="292">
        <v>0</v>
      </c>
      <c r="D47" s="155">
        <f t="shared" si="1"/>
        <v>512640174.00999999</v>
      </c>
      <c r="E47" s="265"/>
      <c r="F47" s="265"/>
      <c r="G47" s="164">
        <f t="shared" si="2"/>
        <v>512640174.00999999</v>
      </c>
      <c r="H47" s="164">
        <v>378407023</v>
      </c>
      <c r="I47" s="164">
        <v>458924686</v>
      </c>
    </row>
    <row r="48" spans="1:10" ht="18" hidden="1" customHeight="1" x14ac:dyDescent="0.25">
      <c r="A48" s="74" t="s">
        <v>27</v>
      </c>
      <c r="B48" s="279">
        <v>10108.23</v>
      </c>
      <c r="C48" s="292">
        <v>0</v>
      </c>
      <c r="D48" s="155">
        <f t="shared" si="1"/>
        <v>10108.23</v>
      </c>
      <c r="E48" s="265"/>
      <c r="F48" s="265"/>
      <c r="G48" s="164">
        <f t="shared" si="2"/>
        <v>10108.23</v>
      </c>
      <c r="H48" s="164">
        <v>22556.35</v>
      </c>
      <c r="I48" s="164">
        <v>33979</v>
      </c>
    </row>
    <row r="49" spans="1:10" ht="18" hidden="1" customHeight="1" x14ac:dyDescent="0.25">
      <c r="A49" s="82"/>
      <c r="B49" s="282"/>
      <c r="C49" s="295"/>
      <c r="D49" s="155">
        <f t="shared" si="1"/>
        <v>0</v>
      </c>
      <c r="E49" s="265"/>
      <c r="F49" s="265"/>
      <c r="G49" s="164">
        <f t="shared" si="2"/>
        <v>0</v>
      </c>
      <c r="H49" s="164">
        <v>0</v>
      </c>
      <c r="I49" s="164">
        <v>0</v>
      </c>
    </row>
    <row r="50" spans="1:10" ht="18" customHeight="1" x14ac:dyDescent="0.25">
      <c r="A50" s="72" t="s">
        <v>169</v>
      </c>
      <c r="B50" s="273">
        <f>B52</f>
        <v>13011738.140000001</v>
      </c>
      <c r="C50" s="289">
        <v>116365</v>
      </c>
      <c r="D50" s="154">
        <f t="shared" si="1"/>
        <v>13128103.140000001</v>
      </c>
      <c r="E50" s="264"/>
      <c r="F50" s="264"/>
      <c r="G50" s="154">
        <f t="shared" si="2"/>
        <v>13128103.140000001</v>
      </c>
      <c r="H50" s="154">
        <v>10375127.720000001</v>
      </c>
      <c r="I50" s="154">
        <v>13056560</v>
      </c>
    </row>
    <row r="51" spans="1:10" ht="18" customHeight="1" x14ac:dyDescent="0.25">
      <c r="A51" s="83"/>
      <c r="B51" s="283"/>
      <c r="C51" s="258"/>
      <c r="D51" s="155">
        <f t="shared" si="1"/>
        <v>0</v>
      </c>
      <c r="E51" s="265"/>
      <c r="F51" s="265"/>
      <c r="G51" s="164">
        <f t="shared" si="2"/>
        <v>0</v>
      </c>
      <c r="H51" s="164">
        <v>0</v>
      </c>
      <c r="I51" s="164">
        <v>0</v>
      </c>
    </row>
    <row r="52" spans="1:10" ht="18" customHeight="1" x14ac:dyDescent="0.25">
      <c r="A52" s="74" t="s">
        <v>65</v>
      </c>
      <c r="B52" s="279">
        <v>13011738.140000001</v>
      </c>
      <c r="C52" s="296">
        <v>0</v>
      </c>
      <c r="D52" s="155">
        <f t="shared" si="1"/>
        <v>13011738.140000001</v>
      </c>
      <c r="E52" s="265"/>
      <c r="F52" s="265"/>
      <c r="G52" s="164">
        <f t="shared" si="2"/>
        <v>13011738.140000001</v>
      </c>
      <c r="H52" s="164">
        <v>10307476.720000001</v>
      </c>
      <c r="I52" s="164">
        <v>12836685</v>
      </c>
    </row>
    <row r="53" spans="1:10" ht="18" customHeight="1" x14ac:dyDescent="0.25">
      <c r="A53" s="74"/>
      <c r="B53" s="278"/>
      <c r="C53" s="292"/>
      <c r="D53" s="155">
        <f t="shared" si="1"/>
        <v>0</v>
      </c>
      <c r="E53" s="265"/>
      <c r="F53" s="265"/>
      <c r="G53" s="164">
        <f t="shared" si="2"/>
        <v>0</v>
      </c>
      <c r="H53" s="164">
        <v>0</v>
      </c>
      <c r="I53" s="164">
        <v>0</v>
      </c>
    </row>
    <row r="54" spans="1:10" ht="18" customHeight="1" x14ac:dyDescent="0.25">
      <c r="A54" s="125" t="s">
        <v>160</v>
      </c>
      <c r="B54" s="284">
        <f>B56</f>
        <v>922560.32</v>
      </c>
      <c r="C54" s="297">
        <f>C56</f>
        <v>0</v>
      </c>
      <c r="D54" s="158">
        <f t="shared" si="1"/>
        <v>922560.32</v>
      </c>
      <c r="E54" s="268"/>
      <c r="F54" s="268"/>
      <c r="G54" s="165">
        <f t="shared" si="2"/>
        <v>922560.32</v>
      </c>
      <c r="H54" s="165">
        <v>703174.14</v>
      </c>
      <c r="I54" s="165">
        <v>1063014</v>
      </c>
    </row>
    <row r="55" spans="1:10" ht="18" customHeight="1" x14ac:dyDescent="0.25">
      <c r="A55" s="130"/>
      <c r="B55" s="279"/>
      <c r="C55" s="292"/>
      <c r="D55" s="155">
        <f t="shared" si="1"/>
        <v>0</v>
      </c>
      <c r="E55" s="265"/>
      <c r="F55" s="265"/>
      <c r="G55" s="164">
        <f t="shared" si="2"/>
        <v>0</v>
      </c>
      <c r="H55" s="164">
        <v>0</v>
      </c>
      <c r="I55" s="164">
        <v>0</v>
      </c>
    </row>
    <row r="56" spans="1:10" ht="18" customHeight="1" x14ac:dyDescent="0.25">
      <c r="A56" s="74" t="s">
        <v>66</v>
      </c>
      <c r="B56" s="279">
        <v>922560.32</v>
      </c>
      <c r="C56" s="292">
        <v>0</v>
      </c>
      <c r="D56" s="155">
        <f t="shared" si="1"/>
        <v>922560.32</v>
      </c>
      <c r="E56" s="265"/>
      <c r="F56" s="265"/>
      <c r="G56" s="164">
        <f t="shared" si="2"/>
        <v>922560.32</v>
      </c>
      <c r="H56" s="164">
        <v>703174.14</v>
      </c>
      <c r="I56" s="164">
        <v>1063014</v>
      </c>
    </row>
    <row r="57" spans="1:10" ht="18" customHeight="1" thickBot="1" x14ac:dyDescent="0.3">
      <c r="A57" s="78"/>
      <c r="B57" s="280"/>
      <c r="C57" s="293"/>
      <c r="D57" s="155"/>
      <c r="E57" s="265"/>
      <c r="F57" s="265"/>
      <c r="G57" s="164">
        <f t="shared" si="2"/>
        <v>0</v>
      </c>
      <c r="H57" s="164">
        <v>0</v>
      </c>
      <c r="I57" s="164">
        <v>0</v>
      </c>
    </row>
    <row r="58" spans="1:10" ht="18" customHeight="1" thickBot="1" x14ac:dyDescent="0.3">
      <c r="A58" s="29" t="s">
        <v>54</v>
      </c>
      <c r="B58" s="332">
        <f>B4+B27+B50+B54</f>
        <v>1086434642.3800001</v>
      </c>
      <c r="C58" s="225">
        <f>C4+C27+C50+C54</f>
        <v>1845073</v>
      </c>
      <c r="D58" s="159">
        <f t="shared" si="1"/>
        <v>1088279715.3800001</v>
      </c>
      <c r="E58" s="30">
        <f>SUM(E4:E57)</f>
        <v>74165.790000000008</v>
      </c>
      <c r="F58" s="30">
        <f>SUM(F4:F57)</f>
        <v>492663.38</v>
      </c>
      <c r="G58" s="166">
        <f>+D58-E58-F58</f>
        <v>1087712886.21</v>
      </c>
      <c r="H58" s="166">
        <v>927701911.22000003</v>
      </c>
      <c r="I58" s="166">
        <v>1051103163</v>
      </c>
    </row>
    <row r="59" spans="1:10" ht="18" customHeight="1" thickBot="1" x14ac:dyDescent="0.3">
      <c r="A59" s="236" t="s">
        <v>55</v>
      </c>
      <c r="B59" s="285">
        <v>279834923</v>
      </c>
      <c r="C59" s="298">
        <v>0</v>
      </c>
      <c r="D59" s="239">
        <f t="shared" si="1"/>
        <v>279834923</v>
      </c>
      <c r="E59" s="269"/>
      <c r="F59" s="269"/>
      <c r="G59" s="241">
        <f>+D59+E59-F59</f>
        <v>279834923</v>
      </c>
      <c r="H59" s="241">
        <v>279701992.16000003</v>
      </c>
      <c r="I59" s="241">
        <v>279821860</v>
      </c>
      <c r="J59" s="117"/>
    </row>
    <row r="60" spans="1:10" x14ac:dyDescent="0.25">
      <c r="A60" s="235"/>
      <c r="B60" s="286"/>
      <c r="C60" s="259"/>
      <c r="D60" s="11"/>
      <c r="E60" s="265"/>
      <c r="F60" s="265"/>
      <c r="G60" s="131"/>
      <c r="H60" s="131"/>
      <c r="I60" s="131"/>
      <c r="J60" s="117"/>
    </row>
    <row r="61" spans="1:10" ht="16" thickBot="1" x14ac:dyDescent="0.3">
      <c r="A61" s="235"/>
      <c r="B61" s="286"/>
      <c r="C61" s="259"/>
      <c r="D61" s="11"/>
      <c r="E61" s="265"/>
      <c r="F61" s="265"/>
      <c r="G61" s="11"/>
      <c r="H61" s="11"/>
      <c r="I61" s="11"/>
    </row>
    <row r="62" spans="1:10" ht="34.5" customHeight="1" thickBot="1" x14ac:dyDescent="0.3">
      <c r="A62" s="29" t="s">
        <v>59</v>
      </c>
      <c r="B62" s="276" t="s">
        <v>71</v>
      </c>
      <c r="C62" s="198" t="s">
        <v>72</v>
      </c>
      <c r="D62" s="152" t="s">
        <v>73</v>
      </c>
      <c r="E62" s="133" t="s">
        <v>157</v>
      </c>
      <c r="F62" s="133" t="s">
        <v>158</v>
      </c>
      <c r="G62" s="152" t="s">
        <v>163</v>
      </c>
      <c r="H62" s="152" t="s">
        <v>154</v>
      </c>
      <c r="I62" s="152" t="s">
        <v>161</v>
      </c>
    </row>
    <row r="63" spans="1:10" ht="18" customHeight="1" x14ac:dyDescent="0.25">
      <c r="A63" s="70"/>
      <c r="B63" s="278"/>
      <c r="C63" s="254"/>
      <c r="D63" s="155"/>
      <c r="E63" s="265"/>
      <c r="F63" s="265"/>
      <c r="G63" s="155">
        <f>+D63+E63-F63</f>
        <v>0</v>
      </c>
      <c r="H63" s="155">
        <v>0</v>
      </c>
      <c r="I63" s="155">
        <v>0</v>
      </c>
      <c r="J63" s="124"/>
    </row>
    <row r="64" spans="1:10" ht="18" customHeight="1" x14ac:dyDescent="0.25">
      <c r="A64" s="72" t="s">
        <v>168</v>
      </c>
      <c r="B64" s="273">
        <f>B66+B68+B74+B75</f>
        <v>615135446.83000004</v>
      </c>
      <c r="C64" s="289">
        <f>C66+C68+C74</f>
        <v>1404667</v>
      </c>
      <c r="D64" s="160">
        <f>+B64+C64</f>
        <v>616540113.83000004</v>
      </c>
      <c r="E64" s="264"/>
      <c r="F64" s="333">
        <f>F66+F68+F74</f>
        <v>60000</v>
      </c>
      <c r="G64" s="154">
        <f>G66+G68+G74</f>
        <v>616480113.83000004</v>
      </c>
      <c r="H64" s="154">
        <v>532750886.99000001</v>
      </c>
      <c r="I64" s="154">
        <v>551844092.12</v>
      </c>
    </row>
    <row r="65" spans="1:9" ht="18" customHeight="1" x14ac:dyDescent="0.25">
      <c r="A65" s="74"/>
      <c r="B65" s="278"/>
      <c r="C65" s="260"/>
      <c r="D65" s="161"/>
      <c r="E65" s="265"/>
      <c r="F65" s="265"/>
      <c r="G65" s="164">
        <f t="shared" ref="G65:G73" si="3">+D65+E65-F65</f>
        <v>0</v>
      </c>
      <c r="H65" s="164">
        <v>0</v>
      </c>
      <c r="I65" s="164">
        <v>0</v>
      </c>
    </row>
    <row r="66" spans="1:9" ht="18" customHeight="1" x14ac:dyDescent="0.25">
      <c r="A66" s="76" t="s">
        <v>30</v>
      </c>
      <c r="B66" s="272">
        <v>107139198.12</v>
      </c>
      <c r="C66" s="299">
        <v>60000</v>
      </c>
      <c r="D66" s="162">
        <f>+B66+C66</f>
        <v>107199198.12</v>
      </c>
      <c r="E66" s="266"/>
      <c r="F66" s="167">
        <v>60000</v>
      </c>
      <c r="G66" s="156">
        <f t="shared" si="3"/>
        <v>107139198.12</v>
      </c>
      <c r="H66" s="156">
        <v>107139198.12</v>
      </c>
      <c r="I66" s="156">
        <v>107139198.12</v>
      </c>
    </row>
    <row r="67" spans="1:9" ht="18" customHeight="1" x14ac:dyDescent="0.25">
      <c r="A67" s="74"/>
      <c r="B67" s="278"/>
      <c r="C67" s="301"/>
      <c r="D67" s="161"/>
      <c r="E67" s="265"/>
      <c r="F67" s="265"/>
      <c r="G67" s="164">
        <f t="shared" si="3"/>
        <v>0</v>
      </c>
      <c r="H67" s="164">
        <v>0</v>
      </c>
      <c r="I67" s="164">
        <v>0</v>
      </c>
    </row>
    <row r="68" spans="1:9" ht="18" customHeight="1" x14ac:dyDescent="0.25">
      <c r="A68" s="76" t="s">
        <v>31</v>
      </c>
      <c r="B68" s="274">
        <f>B71+B72+B70</f>
        <v>417016539.22000003</v>
      </c>
      <c r="C68" s="291">
        <v>0</v>
      </c>
      <c r="D68" s="162">
        <f>+B68+C68</f>
        <v>417016539.22000003</v>
      </c>
      <c r="E68" s="266"/>
      <c r="F68" s="266"/>
      <c r="G68" s="156">
        <f t="shared" si="3"/>
        <v>417016539.22000003</v>
      </c>
      <c r="H68" s="156">
        <v>341664513.36000001</v>
      </c>
      <c r="I68" s="156">
        <v>391501398</v>
      </c>
    </row>
    <row r="69" spans="1:9" ht="18" customHeight="1" x14ac:dyDescent="0.25">
      <c r="A69" s="70"/>
      <c r="B69" s="277"/>
      <c r="C69" s="228"/>
      <c r="D69" s="161"/>
      <c r="E69" s="265"/>
      <c r="F69" s="265"/>
      <c r="G69" s="164">
        <f t="shared" si="3"/>
        <v>0</v>
      </c>
      <c r="H69" s="164">
        <v>0</v>
      </c>
      <c r="I69" s="164">
        <v>0</v>
      </c>
    </row>
    <row r="70" spans="1:9" ht="18" hidden="1" customHeight="1" x14ac:dyDescent="0.25">
      <c r="A70" s="74" t="s">
        <v>32</v>
      </c>
      <c r="B70" s="279">
        <v>11625977.460000001</v>
      </c>
      <c r="C70" s="301">
        <v>0</v>
      </c>
      <c r="D70" s="161">
        <f t="shared" ref="D70:D119" si="4">+B70+C70</f>
        <v>11625977.460000001</v>
      </c>
      <c r="E70" s="265"/>
      <c r="F70" s="265"/>
      <c r="G70" s="164">
        <f t="shared" si="3"/>
        <v>11625977.460000001</v>
      </c>
      <c r="H70" s="164">
        <v>11243232.189999999</v>
      </c>
      <c r="I70" s="164">
        <v>11877309</v>
      </c>
    </row>
    <row r="71" spans="1:9" ht="18" hidden="1" customHeight="1" x14ac:dyDescent="0.25">
      <c r="A71" s="74" t="s">
        <v>33</v>
      </c>
      <c r="B71" s="279">
        <v>320047023.22000003</v>
      </c>
      <c r="C71" s="301">
        <v>0</v>
      </c>
      <c r="D71" s="161">
        <f t="shared" si="4"/>
        <v>320047023.22000003</v>
      </c>
      <c r="E71" s="265"/>
      <c r="F71" s="265"/>
      <c r="G71" s="164">
        <f t="shared" si="3"/>
        <v>320047023.22000003</v>
      </c>
      <c r="H71" s="164">
        <v>238329965.06999999</v>
      </c>
      <c r="I71" s="164">
        <v>290935729</v>
      </c>
    </row>
    <row r="72" spans="1:9" ht="18" hidden="1" customHeight="1" x14ac:dyDescent="0.25">
      <c r="A72" s="74" t="s">
        <v>63</v>
      </c>
      <c r="B72" s="279">
        <v>85343538.540000007</v>
      </c>
      <c r="C72" s="301">
        <v>0</v>
      </c>
      <c r="D72" s="161">
        <f t="shared" si="4"/>
        <v>85343538.540000007</v>
      </c>
      <c r="E72" s="265"/>
      <c r="F72" s="265"/>
      <c r="G72" s="164">
        <f t="shared" si="3"/>
        <v>85343538.540000007</v>
      </c>
      <c r="H72" s="164">
        <v>92091316.099999994</v>
      </c>
      <c r="I72" s="164">
        <v>88688360</v>
      </c>
    </row>
    <row r="73" spans="1:9" ht="18" hidden="1" customHeight="1" x14ac:dyDescent="0.25">
      <c r="A73" s="78"/>
      <c r="B73" s="280"/>
      <c r="C73" s="303"/>
      <c r="D73" s="161">
        <f t="shared" si="4"/>
        <v>0</v>
      </c>
      <c r="E73" s="265"/>
      <c r="F73" s="265"/>
      <c r="G73" s="164">
        <f t="shared" si="3"/>
        <v>0</v>
      </c>
      <c r="H73" s="164">
        <v>0</v>
      </c>
      <c r="I73" s="164">
        <v>0</v>
      </c>
    </row>
    <row r="74" spans="1:9" ht="18" customHeight="1" x14ac:dyDescent="0.25">
      <c r="A74" s="76" t="s">
        <v>34</v>
      </c>
      <c r="B74" s="274">
        <f>B77+B78+B79</f>
        <v>90979709.49000001</v>
      </c>
      <c r="C74" s="291">
        <f>1601162-256495</f>
        <v>1344667</v>
      </c>
      <c r="D74" s="162">
        <f>+B74+C74</f>
        <v>92324376.49000001</v>
      </c>
      <c r="E74" s="270"/>
      <c r="F74" s="270"/>
      <c r="G74" s="156">
        <f>+D74-E74-F74</f>
        <v>92324376.49000001</v>
      </c>
      <c r="H74" s="156">
        <v>83947175.50999999</v>
      </c>
      <c r="I74" s="156">
        <v>53203496</v>
      </c>
    </row>
    <row r="75" spans="1:9" ht="18" customHeight="1" x14ac:dyDescent="0.25">
      <c r="A75" s="132"/>
      <c r="B75" s="275"/>
      <c r="C75" s="304"/>
      <c r="D75" s="161">
        <f t="shared" si="4"/>
        <v>0</v>
      </c>
      <c r="E75" s="265"/>
      <c r="F75" s="265"/>
      <c r="G75" s="164">
        <f t="shared" ref="G75:G85" si="5">+D75+E75-F75</f>
        <v>0</v>
      </c>
      <c r="H75" s="164">
        <v>0</v>
      </c>
      <c r="I75" s="164">
        <v>0</v>
      </c>
    </row>
    <row r="76" spans="1:9" ht="18" hidden="1" customHeight="1" x14ac:dyDescent="0.25">
      <c r="A76" s="70"/>
      <c r="B76" s="277"/>
      <c r="C76" s="261"/>
      <c r="D76" s="161"/>
      <c r="E76" s="265"/>
      <c r="F76" s="265"/>
      <c r="G76" s="164">
        <f t="shared" si="5"/>
        <v>0</v>
      </c>
      <c r="H76" s="164">
        <v>0</v>
      </c>
      <c r="I76" s="164">
        <v>0</v>
      </c>
    </row>
    <row r="77" spans="1:9" ht="18" hidden="1" customHeight="1" x14ac:dyDescent="0.25">
      <c r="A77" s="74" t="s">
        <v>35</v>
      </c>
      <c r="B77" s="279">
        <v>71876189.510000005</v>
      </c>
      <c r="C77" s="260">
        <v>0</v>
      </c>
      <c r="D77" s="161"/>
      <c r="E77" s="265"/>
      <c r="F77" s="265"/>
      <c r="G77" s="164">
        <f t="shared" si="5"/>
        <v>0</v>
      </c>
      <c r="H77" s="164">
        <v>0</v>
      </c>
      <c r="I77" s="164">
        <v>0</v>
      </c>
    </row>
    <row r="78" spans="1:9" ht="18" hidden="1" customHeight="1" x14ac:dyDescent="0.25">
      <c r="A78" s="74" t="s">
        <v>36</v>
      </c>
      <c r="B78" s="279">
        <v>19103519.98</v>
      </c>
      <c r="C78" s="260">
        <v>0</v>
      </c>
      <c r="D78" s="161"/>
      <c r="E78" s="265"/>
      <c r="F78" s="265"/>
      <c r="G78" s="164">
        <f t="shared" si="5"/>
        <v>0</v>
      </c>
      <c r="H78" s="164">
        <v>0</v>
      </c>
      <c r="I78" s="164">
        <v>0</v>
      </c>
    </row>
    <row r="79" spans="1:9" ht="18" hidden="1" customHeight="1" x14ac:dyDescent="0.25">
      <c r="A79" s="74" t="s">
        <v>37</v>
      </c>
      <c r="B79" s="278">
        <v>0</v>
      </c>
      <c r="C79" s="260">
        <v>0</v>
      </c>
      <c r="D79" s="161"/>
      <c r="E79" s="265"/>
      <c r="F79" s="265"/>
      <c r="G79" s="164">
        <f t="shared" si="5"/>
        <v>0</v>
      </c>
      <c r="H79" s="164">
        <v>0</v>
      </c>
      <c r="I79" s="164">
        <v>0</v>
      </c>
    </row>
    <row r="80" spans="1:9" ht="18" hidden="1" customHeight="1" x14ac:dyDescent="0.25">
      <c r="A80" s="78"/>
      <c r="B80" s="599"/>
      <c r="C80" s="262"/>
      <c r="D80" s="161"/>
      <c r="E80" s="265"/>
      <c r="F80" s="265"/>
      <c r="G80" s="164">
        <f t="shared" si="5"/>
        <v>0</v>
      </c>
      <c r="H80" s="164">
        <v>0</v>
      </c>
      <c r="I80" s="164">
        <v>0</v>
      </c>
    </row>
    <row r="81" spans="1:9" ht="18" hidden="1" customHeight="1" x14ac:dyDescent="0.25">
      <c r="A81" s="78"/>
      <c r="B81" s="599"/>
      <c r="C81" s="262"/>
      <c r="D81" s="161"/>
      <c r="E81" s="265"/>
      <c r="F81" s="265"/>
      <c r="G81" s="164">
        <f t="shared" si="5"/>
        <v>0</v>
      </c>
      <c r="H81" s="164">
        <v>0</v>
      </c>
      <c r="I81" s="164">
        <v>0</v>
      </c>
    </row>
    <row r="82" spans="1:9" ht="18" customHeight="1" x14ac:dyDescent="0.25">
      <c r="A82" s="72" t="s">
        <v>167</v>
      </c>
      <c r="B82" s="273">
        <v>40581100.869999997</v>
      </c>
      <c r="C82" s="300">
        <v>0</v>
      </c>
      <c r="D82" s="160">
        <f>+B82+C82</f>
        <v>40581100.869999997</v>
      </c>
      <c r="E82" s="264"/>
      <c r="F82" s="264"/>
      <c r="G82" s="154">
        <f t="shared" si="5"/>
        <v>40581100.869999997</v>
      </c>
      <c r="H82" s="154">
        <v>54218868.479999997</v>
      </c>
      <c r="I82" s="154">
        <v>67729175</v>
      </c>
    </row>
    <row r="83" spans="1:9" ht="18" customHeight="1" x14ac:dyDescent="0.25">
      <c r="A83" s="70"/>
      <c r="B83" s="277"/>
      <c r="C83" s="261"/>
      <c r="D83" s="161"/>
      <c r="E83" s="265"/>
      <c r="F83" s="265"/>
      <c r="G83" s="164">
        <f t="shared" si="5"/>
        <v>0</v>
      </c>
      <c r="H83" s="164">
        <v>0</v>
      </c>
      <c r="I83" s="164">
        <v>0</v>
      </c>
    </row>
    <row r="84" spans="1:9" ht="18" customHeight="1" x14ac:dyDescent="0.25">
      <c r="A84" s="72" t="s">
        <v>166</v>
      </c>
      <c r="B84" s="273">
        <v>2006713.55</v>
      </c>
      <c r="C84" s="300">
        <v>108769</v>
      </c>
      <c r="D84" s="160">
        <f>+B84+C84</f>
        <v>2115482.5499999998</v>
      </c>
      <c r="E84" s="264"/>
      <c r="F84" s="264"/>
      <c r="G84" s="154">
        <f t="shared" si="5"/>
        <v>2115482.5499999998</v>
      </c>
      <c r="H84" s="154">
        <v>1994621.76</v>
      </c>
      <c r="I84" s="154">
        <v>2020782</v>
      </c>
    </row>
    <row r="85" spans="1:9" ht="18" customHeight="1" x14ac:dyDescent="0.25">
      <c r="A85" s="70"/>
      <c r="B85" s="287"/>
      <c r="C85" s="261"/>
      <c r="D85" s="161"/>
      <c r="E85" s="265"/>
      <c r="F85" s="265"/>
      <c r="G85" s="164">
        <f t="shared" si="5"/>
        <v>0</v>
      </c>
      <c r="H85" s="164">
        <v>0</v>
      </c>
      <c r="I85" s="164">
        <v>0</v>
      </c>
    </row>
    <row r="86" spans="1:9" ht="18" customHeight="1" x14ac:dyDescent="0.25">
      <c r="A86" s="72" t="s">
        <v>165</v>
      </c>
      <c r="B86" s="273">
        <f>B87+B88+B89+B90+B91+B92+B93+B94+B95+B96+B97+B98</f>
        <v>52697795.75</v>
      </c>
      <c r="C86" s="289">
        <v>312537</v>
      </c>
      <c r="D86" s="160">
        <f>+B86+C86</f>
        <v>53010332.75</v>
      </c>
      <c r="E86" s="168">
        <f>415949.2+76714.28</f>
        <v>492663.48</v>
      </c>
      <c r="F86" s="168">
        <v>14165.79</v>
      </c>
      <c r="G86" s="154">
        <f>+D86-E86-F86</f>
        <v>52503503.480000004</v>
      </c>
      <c r="H86" s="154">
        <v>48412332.990000002</v>
      </c>
      <c r="I86" s="154">
        <v>58974803</v>
      </c>
    </row>
    <row r="87" spans="1:9" ht="18" hidden="1" customHeight="1" x14ac:dyDescent="0.25">
      <c r="A87" s="74" t="s">
        <v>40</v>
      </c>
      <c r="B87" s="279">
        <v>0</v>
      </c>
      <c r="C87" s="301">
        <v>0</v>
      </c>
      <c r="D87" s="161">
        <f t="shared" si="4"/>
        <v>0</v>
      </c>
      <c r="E87" s="265"/>
      <c r="F87" s="265"/>
      <c r="G87" s="155">
        <f t="shared" ref="G87:G117" si="6">+D87+E87-F87</f>
        <v>0</v>
      </c>
      <c r="H87" s="155">
        <v>2659850.52</v>
      </c>
      <c r="I87" s="155">
        <v>263551</v>
      </c>
    </row>
    <row r="88" spans="1:9" ht="18" hidden="1" customHeight="1" x14ac:dyDescent="0.25">
      <c r="A88" s="74" t="s">
        <v>41</v>
      </c>
      <c r="B88" s="279">
        <v>1473.18</v>
      </c>
      <c r="C88" s="301">
        <v>0</v>
      </c>
      <c r="D88" s="161">
        <f t="shared" si="4"/>
        <v>1473.18</v>
      </c>
      <c r="E88" s="265"/>
      <c r="F88" s="265"/>
      <c r="G88" s="155">
        <f t="shared" si="6"/>
        <v>1473.18</v>
      </c>
      <c r="H88" s="155">
        <v>194652.82</v>
      </c>
      <c r="I88" s="155">
        <v>7584</v>
      </c>
    </row>
    <row r="89" spans="1:9" ht="18" hidden="1" customHeight="1" x14ac:dyDescent="0.25">
      <c r="A89" s="74" t="s">
        <v>42</v>
      </c>
      <c r="B89" s="279">
        <v>2367641.84</v>
      </c>
      <c r="C89" s="301">
        <v>0</v>
      </c>
      <c r="D89" s="161">
        <f t="shared" si="4"/>
        <v>2367641.84</v>
      </c>
      <c r="E89" s="265"/>
      <c r="F89" s="265"/>
      <c r="G89" s="155">
        <f t="shared" si="6"/>
        <v>2367641.84</v>
      </c>
      <c r="H89" s="155">
        <v>2298008.4900000002</v>
      </c>
      <c r="I89" s="155">
        <v>2663972</v>
      </c>
    </row>
    <row r="90" spans="1:9" ht="18" hidden="1" customHeight="1" x14ac:dyDescent="0.25">
      <c r="A90" s="74" t="s">
        <v>43</v>
      </c>
      <c r="B90" s="279">
        <v>823351.28</v>
      </c>
      <c r="C90" s="301">
        <v>0</v>
      </c>
      <c r="D90" s="161">
        <f t="shared" si="4"/>
        <v>823351.28</v>
      </c>
      <c r="E90" s="265"/>
      <c r="F90" s="265"/>
      <c r="G90" s="155">
        <f t="shared" si="6"/>
        <v>823351.28</v>
      </c>
      <c r="H90" s="155">
        <v>829864</v>
      </c>
      <c r="I90" s="155">
        <v>3990</v>
      </c>
    </row>
    <row r="91" spans="1:9" ht="18" hidden="1" customHeight="1" x14ac:dyDescent="0.25">
      <c r="A91" s="74" t="s">
        <v>64</v>
      </c>
      <c r="B91" s="279">
        <v>0</v>
      </c>
      <c r="C91" s="301">
        <v>0</v>
      </c>
      <c r="D91" s="161">
        <f t="shared" si="4"/>
        <v>0</v>
      </c>
      <c r="E91" s="265"/>
      <c r="F91" s="265"/>
      <c r="G91" s="155">
        <f t="shared" si="6"/>
        <v>0</v>
      </c>
      <c r="H91" s="155">
        <v>0</v>
      </c>
      <c r="I91" s="155">
        <v>0</v>
      </c>
    </row>
    <row r="92" spans="1:9" ht="18" hidden="1" customHeight="1" x14ac:dyDescent="0.25">
      <c r="A92" s="74" t="s">
        <v>44</v>
      </c>
      <c r="B92" s="279">
        <v>19121</v>
      </c>
      <c r="C92" s="301">
        <v>0</v>
      </c>
      <c r="D92" s="161">
        <f t="shared" si="4"/>
        <v>19121</v>
      </c>
      <c r="E92" s="265"/>
      <c r="F92" s="265"/>
      <c r="G92" s="155">
        <f t="shared" si="6"/>
        <v>19121</v>
      </c>
      <c r="H92" s="155">
        <v>196110.56</v>
      </c>
      <c r="I92" s="155">
        <v>75060</v>
      </c>
    </row>
    <row r="93" spans="1:9" ht="18" hidden="1" customHeight="1" x14ac:dyDescent="0.25">
      <c r="A93" s="74" t="s">
        <v>45</v>
      </c>
      <c r="B93" s="279">
        <v>2335.1</v>
      </c>
      <c r="C93" s="301">
        <v>0</v>
      </c>
      <c r="D93" s="161">
        <f t="shared" si="4"/>
        <v>2335.1</v>
      </c>
      <c r="E93" s="265"/>
      <c r="F93" s="265"/>
      <c r="G93" s="155">
        <f t="shared" si="6"/>
        <v>2335.1</v>
      </c>
      <c r="H93" s="155">
        <v>1361.83</v>
      </c>
      <c r="I93" s="155">
        <v>3589</v>
      </c>
    </row>
    <row r="94" spans="1:9" ht="18" hidden="1" customHeight="1" x14ac:dyDescent="0.25">
      <c r="A94" s="74" t="s">
        <v>46</v>
      </c>
      <c r="B94" s="279">
        <v>0</v>
      </c>
      <c r="C94" s="301">
        <v>0</v>
      </c>
      <c r="D94" s="161">
        <f t="shared" si="4"/>
        <v>0</v>
      </c>
      <c r="E94" s="265"/>
      <c r="F94" s="265"/>
      <c r="G94" s="155">
        <f t="shared" si="6"/>
        <v>0</v>
      </c>
      <c r="H94" s="155">
        <v>0</v>
      </c>
      <c r="I94" s="155">
        <v>0</v>
      </c>
    </row>
    <row r="95" spans="1:9" ht="18" hidden="1" customHeight="1" x14ac:dyDescent="0.25">
      <c r="A95" s="74" t="s">
        <v>47</v>
      </c>
      <c r="B95" s="279">
        <v>14530807.060000001</v>
      </c>
      <c r="C95" s="301">
        <v>0</v>
      </c>
      <c r="D95" s="161">
        <f t="shared" si="4"/>
        <v>14530807.060000001</v>
      </c>
      <c r="E95" s="265"/>
      <c r="F95" s="265"/>
      <c r="G95" s="155">
        <f t="shared" si="6"/>
        <v>14530807.060000001</v>
      </c>
      <c r="H95" s="155">
        <v>11162277.76</v>
      </c>
      <c r="I95" s="155">
        <v>18347101</v>
      </c>
    </row>
    <row r="96" spans="1:9" ht="18" hidden="1" customHeight="1" x14ac:dyDescent="0.25">
      <c r="A96" s="74" t="s">
        <v>48</v>
      </c>
      <c r="B96" s="279">
        <v>50525.49</v>
      </c>
      <c r="C96" s="301">
        <v>0</v>
      </c>
      <c r="D96" s="161">
        <f t="shared" si="4"/>
        <v>50525.49</v>
      </c>
      <c r="E96" s="265"/>
      <c r="F96" s="265"/>
      <c r="G96" s="155">
        <f t="shared" si="6"/>
        <v>50525.49</v>
      </c>
      <c r="H96" s="155">
        <v>41621.760000000002</v>
      </c>
      <c r="I96" s="155">
        <v>254860</v>
      </c>
    </row>
    <row r="97" spans="1:9" ht="18" hidden="1" customHeight="1" x14ac:dyDescent="0.25">
      <c r="A97" s="74" t="s">
        <v>49</v>
      </c>
      <c r="B97" s="279">
        <v>0</v>
      </c>
      <c r="C97" s="301">
        <v>0</v>
      </c>
      <c r="D97" s="161">
        <f t="shared" si="4"/>
        <v>0</v>
      </c>
      <c r="E97" s="265"/>
      <c r="F97" s="265"/>
      <c r="G97" s="155">
        <f t="shared" si="6"/>
        <v>0</v>
      </c>
      <c r="H97" s="155">
        <v>0</v>
      </c>
      <c r="I97" s="155">
        <v>0</v>
      </c>
    </row>
    <row r="98" spans="1:9" ht="18" hidden="1" customHeight="1" x14ac:dyDescent="0.25">
      <c r="A98" s="74" t="s">
        <v>50</v>
      </c>
      <c r="B98" s="279">
        <v>34902540.799999997</v>
      </c>
      <c r="C98" s="301">
        <v>0</v>
      </c>
      <c r="D98" s="161">
        <f t="shared" si="4"/>
        <v>34902540.799999997</v>
      </c>
      <c r="E98" s="265"/>
      <c r="F98" s="265"/>
      <c r="G98" s="155">
        <f t="shared" si="6"/>
        <v>34902540.799999997</v>
      </c>
      <c r="H98" s="155">
        <v>31165994.25</v>
      </c>
      <c r="I98" s="155">
        <v>37324067</v>
      </c>
    </row>
    <row r="99" spans="1:9" ht="18" hidden="1" customHeight="1" x14ac:dyDescent="0.25">
      <c r="A99" s="589"/>
      <c r="B99" s="600"/>
      <c r="C99" s="233"/>
      <c r="D99" s="161">
        <f t="shared" si="4"/>
        <v>0</v>
      </c>
      <c r="E99" s="265"/>
      <c r="F99" s="265"/>
      <c r="G99" s="155">
        <f t="shared" si="6"/>
        <v>0</v>
      </c>
      <c r="H99" s="155">
        <v>0</v>
      </c>
      <c r="I99" s="155">
        <v>0</v>
      </c>
    </row>
    <row r="100" spans="1:9" ht="18" customHeight="1" x14ac:dyDescent="0.25">
      <c r="A100" s="589"/>
      <c r="B100" s="600"/>
      <c r="C100" s="263"/>
      <c r="D100" s="161">
        <f t="shared" si="4"/>
        <v>0</v>
      </c>
      <c r="E100" s="265"/>
      <c r="F100" s="265"/>
      <c r="G100" s="155">
        <f t="shared" si="6"/>
        <v>0</v>
      </c>
      <c r="H100" s="155">
        <v>0</v>
      </c>
      <c r="I100" s="155">
        <v>0</v>
      </c>
    </row>
    <row r="101" spans="1:9" ht="18" customHeight="1" x14ac:dyDescent="0.25">
      <c r="A101" s="72" t="s">
        <v>164</v>
      </c>
      <c r="B101" s="273">
        <f>B103+B104</f>
        <v>227827920.47</v>
      </c>
      <c r="C101" s="289">
        <v>19100</v>
      </c>
      <c r="D101" s="160">
        <f>+B101+C101</f>
        <v>227847020.47</v>
      </c>
      <c r="E101" s="264"/>
      <c r="F101" s="264"/>
      <c r="G101" s="154">
        <f t="shared" si="6"/>
        <v>227847020.47</v>
      </c>
      <c r="H101" s="154">
        <v>198861093.28</v>
      </c>
      <c r="I101" s="154">
        <v>230639782</v>
      </c>
    </row>
    <row r="102" spans="1:9" ht="18" customHeight="1" x14ac:dyDescent="0.25">
      <c r="A102" s="70"/>
      <c r="B102" s="277"/>
      <c r="C102" s="261"/>
      <c r="D102" s="161"/>
      <c r="E102" s="265"/>
      <c r="F102" s="265"/>
      <c r="G102" s="164">
        <f t="shared" si="6"/>
        <v>0</v>
      </c>
      <c r="H102" s="164">
        <v>0</v>
      </c>
      <c r="I102" s="164">
        <v>0</v>
      </c>
    </row>
    <row r="103" spans="1:9" ht="18" hidden="1" customHeight="1" x14ac:dyDescent="0.25">
      <c r="A103" s="74" t="s">
        <v>69</v>
      </c>
      <c r="B103" s="279">
        <v>40407396.259999998</v>
      </c>
      <c r="C103" s="301">
        <v>0</v>
      </c>
      <c r="D103" s="161">
        <f t="shared" si="4"/>
        <v>40407396.259999998</v>
      </c>
      <c r="E103" s="265"/>
      <c r="F103" s="265"/>
      <c r="G103" s="164">
        <f t="shared" si="6"/>
        <v>40407396.259999998</v>
      </c>
      <c r="H103" s="164">
        <v>17162383.489999998</v>
      </c>
      <c r="I103" s="164">
        <v>39026853</v>
      </c>
    </row>
    <row r="104" spans="1:9" ht="18" hidden="1" customHeight="1" x14ac:dyDescent="0.25">
      <c r="A104" s="74" t="s">
        <v>70</v>
      </c>
      <c r="B104" s="279">
        <v>187420524.21000001</v>
      </c>
      <c r="C104" s="301">
        <v>0</v>
      </c>
      <c r="D104" s="161">
        <f t="shared" si="4"/>
        <v>187420524.21000001</v>
      </c>
      <c r="E104" s="265"/>
      <c r="F104" s="265"/>
      <c r="G104" s="164">
        <f t="shared" si="6"/>
        <v>187420524.21000001</v>
      </c>
      <c r="H104" s="164">
        <v>181527569.78999999</v>
      </c>
      <c r="I104" s="164">
        <v>191440368</v>
      </c>
    </row>
    <row r="105" spans="1:9" ht="18.75" hidden="1" customHeight="1" x14ac:dyDescent="0.25">
      <c r="A105" s="74"/>
      <c r="B105" s="278"/>
      <c r="C105" s="260"/>
      <c r="D105" s="161">
        <f t="shared" si="4"/>
        <v>0</v>
      </c>
      <c r="E105" s="265"/>
      <c r="F105" s="265"/>
      <c r="G105" s="164">
        <f t="shared" si="6"/>
        <v>0</v>
      </c>
      <c r="H105" s="164">
        <v>0</v>
      </c>
      <c r="I105" s="164">
        <v>0</v>
      </c>
    </row>
    <row r="106" spans="1:9" ht="18.75" hidden="1" customHeight="1" x14ac:dyDescent="0.25">
      <c r="A106" s="81"/>
      <c r="B106" s="278"/>
      <c r="C106" s="260"/>
      <c r="D106" s="161">
        <f t="shared" si="4"/>
        <v>0</v>
      </c>
      <c r="E106" s="265"/>
      <c r="F106" s="265"/>
      <c r="G106" s="164">
        <f t="shared" si="6"/>
        <v>0</v>
      </c>
      <c r="H106" s="164">
        <v>0</v>
      </c>
      <c r="I106" s="164">
        <v>0</v>
      </c>
    </row>
    <row r="107" spans="1:9" ht="18.75" customHeight="1" x14ac:dyDescent="0.25">
      <c r="A107" s="72" t="s">
        <v>67</v>
      </c>
      <c r="B107" s="273">
        <f>B109</f>
        <v>148185664.81</v>
      </c>
      <c r="C107" s="289">
        <v>0</v>
      </c>
      <c r="D107" s="160">
        <f>+B107+C107</f>
        <v>148185664.81</v>
      </c>
      <c r="E107" s="264"/>
      <c r="F107" s="264"/>
      <c r="G107" s="154">
        <f t="shared" si="6"/>
        <v>148185664.81</v>
      </c>
      <c r="H107" s="154">
        <v>91464107.719999999</v>
      </c>
      <c r="I107" s="154">
        <v>139894529</v>
      </c>
    </row>
    <row r="108" spans="1:9" ht="18.75" customHeight="1" x14ac:dyDescent="0.25">
      <c r="A108" s="74"/>
      <c r="B108" s="279"/>
      <c r="C108" s="255"/>
      <c r="D108" s="155"/>
      <c r="E108" s="265"/>
      <c r="F108" s="265"/>
      <c r="G108" s="164">
        <f t="shared" si="6"/>
        <v>0</v>
      </c>
      <c r="H108" s="164">
        <v>0</v>
      </c>
      <c r="I108" s="164">
        <v>0</v>
      </c>
    </row>
    <row r="109" spans="1:9" ht="18.75" hidden="1" customHeight="1" x14ac:dyDescent="0.25">
      <c r="A109" s="74" t="s">
        <v>68</v>
      </c>
      <c r="B109" s="279">
        <v>148185664.81</v>
      </c>
      <c r="C109" s="292">
        <v>0</v>
      </c>
      <c r="D109" s="155">
        <f t="shared" si="4"/>
        <v>148185664.81</v>
      </c>
      <c r="E109" s="265"/>
      <c r="F109" s="265"/>
      <c r="G109" s="164">
        <f t="shared" si="6"/>
        <v>148185664.81</v>
      </c>
      <c r="H109" s="164">
        <v>91464107.719999999</v>
      </c>
      <c r="I109" s="164">
        <v>139894529</v>
      </c>
    </row>
    <row r="110" spans="1:9" ht="6" hidden="1" customHeight="1" x14ac:dyDescent="0.25">
      <c r="A110" s="81"/>
      <c r="B110" s="278"/>
      <c r="C110" s="255"/>
      <c r="D110" s="155">
        <f t="shared" si="4"/>
        <v>0</v>
      </c>
      <c r="E110" s="265"/>
      <c r="F110" s="265"/>
      <c r="G110" s="164">
        <f t="shared" si="6"/>
        <v>0</v>
      </c>
      <c r="H110" s="164">
        <v>0</v>
      </c>
      <c r="I110" s="164">
        <v>0</v>
      </c>
    </row>
    <row r="111" spans="1:9" ht="6" hidden="1" customHeight="1" x14ac:dyDescent="0.25">
      <c r="A111" s="74"/>
      <c r="B111" s="278"/>
      <c r="C111" s="255"/>
      <c r="D111" s="155">
        <f t="shared" si="4"/>
        <v>0</v>
      </c>
      <c r="E111" s="265"/>
      <c r="F111" s="265"/>
      <c r="G111" s="164">
        <f t="shared" si="6"/>
        <v>0</v>
      </c>
      <c r="H111" s="164">
        <v>0</v>
      </c>
      <c r="I111" s="164">
        <v>0</v>
      </c>
    </row>
    <row r="112" spans="1:9" ht="6" hidden="1" customHeight="1" x14ac:dyDescent="0.25">
      <c r="A112" s="74"/>
      <c r="B112" s="278"/>
      <c r="C112" s="255"/>
      <c r="D112" s="155">
        <f t="shared" si="4"/>
        <v>0</v>
      </c>
      <c r="E112" s="265"/>
      <c r="F112" s="265"/>
      <c r="G112" s="164">
        <f t="shared" si="6"/>
        <v>0</v>
      </c>
      <c r="H112" s="164">
        <v>0</v>
      </c>
      <c r="I112" s="164">
        <v>0</v>
      </c>
    </row>
    <row r="113" spans="1:11" ht="6" hidden="1" customHeight="1" x14ac:dyDescent="0.25">
      <c r="A113" s="74"/>
      <c r="B113" s="278"/>
      <c r="C113" s="255"/>
      <c r="D113" s="155">
        <f t="shared" si="4"/>
        <v>0</v>
      </c>
      <c r="E113" s="265"/>
      <c r="F113" s="265"/>
      <c r="G113" s="164">
        <f t="shared" si="6"/>
        <v>0</v>
      </c>
      <c r="H113" s="164">
        <v>0</v>
      </c>
      <c r="I113" s="164">
        <v>0</v>
      </c>
    </row>
    <row r="114" spans="1:11" ht="6" hidden="1" customHeight="1" x14ac:dyDescent="0.25">
      <c r="A114" s="81"/>
      <c r="B114" s="278"/>
      <c r="C114" s="255"/>
      <c r="D114" s="155">
        <f t="shared" si="4"/>
        <v>0</v>
      </c>
      <c r="E114" s="265"/>
      <c r="F114" s="265"/>
      <c r="G114" s="164">
        <f t="shared" si="6"/>
        <v>0</v>
      </c>
      <c r="H114" s="164">
        <v>0</v>
      </c>
      <c r="I114" s="164">
        <v>0</v>
      </c>
    </row>
    <row r="115" spans="1:11" ht="6" hidden="1" customHeight="1" x14ac:dyDescent="0.25">
      <c r="A115" s="74"/>
      <c r="B115" s="278"/>
      <c r="C115" s="255"/>
      <c r="D115" s="155">
        <f t="shared" si="4"/>
        <v>0</v>
      </c>
      <c r="E115" s="265"/>
      <c r="F115" s="265"/>
      <c r="G115" s="164">
        <f t="shared" si="6"/>
        <v>0</v>
      </c>
      <c r="H115" s="164">
        <v>0</v>
      </c>
      <c r="I115" s="164">
        <v>0</v>
      </c>
    </row>
    <row r="116" spans="1:11" ht="6" hidden="1" customHeight="1" x14ac:dyDescent="0.25">
      <c r="A116" s="74"/>
      <c r="B116" s="278"/>
      <c r="C116" s="255"/>
      <c r="D116" s="155">
        <f t="shared" si="4"/>
        <v>0</v>
      </c>
      <c r="E116" s="265"/>
      <c r="F116" s="265"/>
      <c r="G116" s="164">
        <f t="shared" si="6"/>
        <v>0</v>
      </c>
      <c r="H116" s="164">
        <v>0</v>
      </c>
      <c r="I116" s="164">
        <v>0</v>
      </c>
    </row>
    <row r="117" spans="1:11" ht="6" customHeight="1" thickBot="1" x14ac:dyDescent="0.3">
      <c r="A117" s="74"/>
      <c r="B117" s="278"/>
      <c r="C117" s="255"/>
      <c r="D117" s="155">
        <f t="shared" si="4"/>
        <v>0</v>
      </c>
      <c r="E117" s="265"/>
      <c r="F117" s="265"/>
      <c r="G117" s="164">
        <f t="shared" si="6"/>
        <v>0</v>
      </c>
      <c r="H117" s="164">
        <v>0</v>
      </c>
      <c r="I117" s="164">
        <v>0</v>
      </c>
    </row>
    <row r="118" spans="1:11" ht="18.75" customHeight="1" thickBot="1" x14ac:dyDescent="0.3">
      <c r="A118" s="29" t="s">
        <v>56</v>
      </c>
      <c r="B118" s="332">
        <f>B64+B82+B84+B86+B101+B107</f>
        <v>1086434642.28</v>
      </c>
      <c r="C118" s="225">
        <f>C64+C82+C84+C86+C101+C107</f>
        <v>1845073</v>
      </c>
      <c r="D118" s="159">
        <f>+B118+C118</f>
        <v>1088279715.28</v>
      </c>
      <c r="E118" s="30">
        <f>SUM(E64:E108)</f>
        <v>492663.48</v>
      </c>
      <c r="F118" s="30">
        <f>+F64+F82+F86</f>
        <v>74165.790000000008</v>
      </c>
      <c r="G118" s="143">
        <f>+D118-E118-F118</f>
        <v>1087712886.01</v>
      </c>
      <c r="H118" s="143">
        <v>927701911.22000003</v>
      </c>
      <c r="I118" s="143">
        <v>1051103163.12</v>
      </c>
      <c r="J118" s="117"/>
      <c r="K118" s="117"/>
    </row>
    <row r="119" spans="1:11" ht="16" thickBot="1" x14ac:dyDescent="0.3">
      <c r="A119" s="90" t="s">
        <v>57</v>
      </c>
      <c r="B119" s="288">
        <f>B59</f>
        <v>279834923</v>
      </c>
      <c r="C119" s="302">
        <v>0</v>
      </c>
      <c r="D119" s="163">
        <f t="shared" si="4"/>
        <v>279834923</v>
      </c>
      <c r="E119" s="271"/>
      <c r="F119" s="271"/>
      <c r="G119" s="163">
        <f>+D119+E119-F119</f>
        <v>279834923</v>
      </c>
      <c r="H119" s="163">
        <v>279701992.16000003</v>
      </c>
      <c r="I119" s="163">
        <v>279821860</v>
      </c>
    </row>
    <row r="121" spans="1:11" x14ac:dyDescent="0.25">
      <c r="D121" s="116"/>
      <c r="G121" s="116"/>
      <c r="H121" s="116"/>
    </row>
    <row r="122" spans="1:11" x14ac:dyDescent="0.25">
      <c r="D122" s="116"/>
      <c r="G122" s="116"/>
      <c r="H122" s="116"/>
    </row>
    <row r="123" spans="1:11" x14ac:dyDescent="0.25">
      <c r="D123" s="116"/>
      <c r="G123" s="116"/>
      <c r="H123" s="116"/>
    </row>
    <row r="124" spans="1:11" x14ac:dyDescent="0.25">
      <c r="G124" s="116"/>
      <c r="H124" s="116"/>
    </row>
    <row r="126" spans="1:11" x14ac:dyDescent="0.25">
      <c r="E126" s="10">
        <v>43875</v>
      </c>
    </row>
  </sheetData>
  <mergeCells count="4">
    <mergeCell ref="B80:B81"/>
    <mergeCell ref="A99:A100"/>
    <mergeCell ref="B99:B100"/>
    <mergeCell ref="A1:I1"/>
  </mergeCells>
  <pageMargins left="0.7" right="0.7" top="0.75" bottom="0.75" header="0.3" footer="0.3"/>
  <pageSetup paperSize="8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6D71-52A6-43A2-A297-081C9066DBAD}">
  <dimension ref="A1:M124"/>
  <sheetViews>
    <sheetView view="pageBreakPreview" topLeftCell="A53" zoomScale="86" zoomScaleNormal="84" zoomScaleSheetLayoutView="86" workbookViewId="0">
      <selection sqref="A1:XFD1048576"/>
    </sheetView>
  </sheetViews>
  <sheetFormatPr defaultColWidth="9.1796875" defaultRowHeight="18.5" x14ac:dyDescent="0.25"/>
  <cols>
    <col min="1" max="1" width="61.26953125" style="352" customWidth="1"/>
    <col min="2" max="2" width="18.54296875" style="445" customWidth="1"/>
    <col min="3" max="3" width="18.26953125" style="352" customWidth="1"/>
    <col min="4" max="4" width="21" style="419" customWidth="1"/>
    <col min="5" max="6" width="19.1796875" style="445" customWidth="1"/>
    <col min="7" max="8" width="20.54296875" style="447" customWidth="1"/>
    <col min="9" max="9" width="20.54296875" style="447" hidden="1" customWidth="1"/>
    <col min="10" max="10" width="20.54296875" style="352" hidden="1" customWidth="1"/>
    <col min="11" max="11" width="15.81640625" style="352" bestFit="1" customWidth="1"/>
    <col min="12" max="12" width="13.26953125" style="352" customWidth="1"/>
    <col min="13" max="13" width="16" style="352" bestFit="1" customWidth="1"/>
    <col min="14" max="16384" width="9.1796875" style="352"/>
  </cols>
  <sheetData>
    <row r="1" spans="1:13" s="345" customFormat="1" ht="33.75" customHeight="1" thickBot="1" x14ac:dyDescent="0.3">
      <c r="A1" s="602" t="s">
        <v>140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3" ht="37.5" thickBot="1" x14ac:dyDescent="0.3">
      <c r="A2" s="346" t="s">
        <v>58</v>
      </c>
      <c r="B2" s="347" t="s">
        <v>71</v>
      </c>
      <c r="C2" s="348" t="s">
        <v>72</v>
      </c>
      <c r="D2" s="349" t="s">
        <v>73</v>
      </c>
      <c r="E2" s="350" t="s">
        <v>157</v>
      </c>
      <c r="F2" s="350" t="s">
        <v>158</v>
      </c>
      <c r="G2" s="351" t="s">
        <v>172</v>
      </c>
      <c r="H2" s="351" t="s">
        <v>163</v>
      </c>
      <c r="I2" s="351" t="s">
        <v>154</v>
      </c>
      <c r="J2" s="351" t="s">
        <v>161</v>
      </c>
    </row>
    <row r="3" spans="1:13" ht="18" customHeight="1" x14ac:dyDescent="0.25">
      <c r="A3" s="353"/>
      <c r="B3" s="354"/>
      <c r="C3" s="355"/>
      <c r="D3" s="356"/>
      <c r="E3" s="357"/>
      <c r="F3" s="357"/>
      <c r="G3" s="358"/>
      <c r="H3" s="358"/>
      <c r="I3" s="358"/>
    </row>
    <row r="4" spans="1:13" ht="18" customHeight="1" x14ac:dyDescent="0.25">
      <c r="A4" s="359" t="s">
        <v>170</v>
      </c>
      <c r="B4" s="360">
        <f>B6+B14+B24</f>
        <v>324851404.53000003</v>
      </c>
      <c r="C4" s="361">
        <f>C6+C14+C24</f>
        <v>227330</v>
      </c>
      <c r="D4" s="362">
        <f>+B4+C4</f>
        <v>325078734.53000003</v>
      </c>
      <c r="E4" s="363"/>
      <c r="F4" s="363"/>
      <c r="G4" s="364">
        <f>G6+G14+G24</f>
        <v>325018734.53000003</v>
      </c>
      <c r="H4" s="364">
        <f>H6+H14+H24</f>
        <v>313101468</v>
      </c>
      <c r="I4" s="364">
        <v>308138978.63</v>
      </c>
      <c r="J4" s="364">
        <v>313116189</v>
      </c>
    </row>
    <row r="5" spans="1:13" ht="18" customHeight="1" x14ac:dyDescent="0.25">
      <c r="A5" s="365"/>
      <c r="B5" s="366"/>
      <c r="C5" s="367"/>
      <c r="D5" s="356"/>
      <c r="E5" s="368"/>
      <c r="F5" s="368"/>
      <c r="G5" s="369">
        <f t="shared" ref="G5:H23" si="0">+C5+D5-E5</f>
        <v>0</v>
      </c>
      <c r="H5" s="369">
        <f t="shared" si="0"/>
        <v>0</v>
      </c>
      <c r="I5" s="369">
        <v>0</v>
      </c>
      <c r="J5" s="369">
        <v>0</v>
      </c>
    </row>
    <row r="6" spans="1:13" ht="18" customHeight="1" x14ac:dyDescent="0.25">
      <c r="A6" s="370" t="s">
        <v>1</v>
      </c>
      <c r="B6" s="371">
        <f>B8+B9+B10+B11+B12</f>
        <v>14245702.530000001</v>
      </c>
      <c r="C6" s="372">
        <v>14691</v>
      </c>
      <c r="D6" s="373">
        <f>+B6+C6</f>
        <v>14260393.530000001</v>
      </c>
      <c r="E6" s="374"/>
      <c r="F6" s="374"/>
      <c r="G6" s="375">
        <f>+D6-E6-F6</f>
        <v>14260393.530000001</v>
      </c>
      <c r="H6" s="375">
        <v>9573219</v>
      </c>
      <c r="I6" s="375">
        <v>1292863.48</v>
      </c>
      <c r="J6" s="375">
        <v>6323386</v>
      </c>
    </row>
    <row r="7" spans="1:13" ht="18" customHeight="1" x14ac:dyDescent="0.25">
      <c r="A7" s="365"/>
      <c r="B7" s="376"/>
      <c r="C7" s="367"/>
      <c r="D7" s="356"/>
      <c r="E7" s="368"/>
      <c r="F7" s="368"/>
      <c r="G7" s="369">
        <f t="shared" si="0"/>
        <v>0</v>
      </c>
      <c r="H7" s="369"/>
      <c r="I7" s="369">
        <v>0</v>
      </c>
      <c r="J7" s="369">
        <v>0</v>
      </c>
    </row>
    <row r="8" spans="1:13" ht="18" hidden="1" customHeight="1" x14ac:dyDescent="0.25">
      <c r="A8" s="365" t="s">
        <v>2</v>
      </c>
      <c r="B8" s="376">
        <v>0</v>
      </c>
      <c r="C8" s="377">
        <v>0</v>
      </c>
      <c r="D8" s="356">
        <f t="shared" ref="D8:D59" si="1">+B8+C8</f>
        <v>0</v>
      </c>
      <c r="E8" s="368"/>
      <c r="F8" s="368"/>
      <c r="G8" s="369">
        <f t="shared" si="0"/>
        <v>0</v>
      </c>
      <c r="H8" s="369"/>
      <c r="I8" s="369">
        <v>0</v>
      </c>
      <c r="J8" s="369">
        <v>0</v>
      </c>
    </row>
    <row r="9" spans="1:13" ht="18" hidden="1" customHeight="1" x14ac:dyDescent="0.25">
      <c r="A9" s="365" t="s">
        <v>3</v>
      </c>
      <c r="B9" s="378">
        <v>1397898.53</v>
      </c>
      <c r="C9" s="377">
        <v>0</v>
      </c>
      <c r="D9" s="356">
        <f t="shared" si="1"/>
        <v>1397898.53</v>
      </c>
      <c r="E9" s="368"/>
      <c r="F9" s="368"/>
      <c r="G9" s="369">
        <f t="shared" si="0"/>
        <v>1397898.53</v>
      </c>
      <c r="H9" s="369"/>
      <c r="I9" s="369">
        <v>596076.77</v>
      </c>
      <c r="J9" s="369">
        <v>798141</v>
      </c>
    </row>
    <row r="10" spans="1:13" ht="18" hidden="1" customHeight="1" x14ac:dyDescent="0.25">
      <c r="A10" s="365" t="s">
        <v>4</v>
      </c>
      <c r="B10" s="378">
        <v>236028.87</v>
      </c>
      <c r="C10" s="377">
        <v>0</v>
      </c>
      <c r="D10" s="356">
        <f t="shared" si="1"/>
        <v>236028.87</v>
      </c>
      <c r="E10" s="368"/>
      <c r="F10" s="368"/>
      <c r="G10" s="369">
        <f t="shared" si="0"/>
        <v>236028.87</v>
      </c>
      <c r="H10" s="369"/>
      <c r="I10" s="369">
        <v>125599.31</v>
      </c>
      <c r="J10" s="369">
        <v>107439</v>
      </c>
      <c r="M10" s="357"/>
    </row>
    <row r="11" spans="1:13" ht="18" hidden="1" customHeight="1" x14ac:dyDescent="0.25">
      <c r="A11" s="365" t="s">
        <v>5</v>
      </c>
      <c r="B11" s="378">
        <v>10174357.76</v>
      </c>
      <c r="C11" s="377">
        <v>0</v>
      </c>
      <c r="D11" s="356">
        <f t="shared" si="1"/>
        <v>10174357.76</v>
      </c>
      <c r="E11" s="368"/>
      <c r="F11" s="368"/>
      <c r="G11" s="369">
        <f t="shared" si="0"/>
        <v>10174357.76</v>
      </c>
      <c r="H11" s="369"/>
      <c r="I11" s="369">
        <v>0</v>
      </c>
      <c r="J11" s="369">
        <v>4913292</v>
      </c>
    </row>
    <row r="12" spans="1:13" ht="18" hidden="1" customHeight="1" x14ac:dyDescent="0.25">
      <c r="A12" s="365" t="s">
        <v>6</v>
      </c>
      <c r="B12" s="378">
        <v>2437417.37</v>
      </c>
      <c r="C12" s="377">
        <v>0</v>
      </c>
      <c r="D12" s="356">
        <f t="shared" si="1"/>
        <v>2437417.37</v>
      </c>
      <c r="E12" s="368"/>
      <c r="F12" s="368"/>
      <c r="G12" s="369">
        <f t="shared" si="0"/>
        <v>2437417.37</v>
      </c>
      <c r="H12" s="369"/>
      <c r="I12" s="369">
        <v>562700.4</v>
      </c>
      <c r="J12" s="369">
        <v>497314</v>
      </c>
    </row>
    <row r="13" spans="1:13" ht="18" hidden="1" customHeight="1" x14ac:dyDescent="0.25">
      <c r="A13" s="379"/>
      <c r="B13" s="380"/>
      <c r="C13" s="381"/>
      <c r="D13" s="356">
        <f t="shared" si="1"/>
        <v>0</v>
      </c>
      <c r="E13" s="368"/>
      <c r="F13" s="368"/>
      <c r="G13" s="369">
        <f t="shared" si="0"/>
        <v>0</v>
      </c>
      <c r="H13" s="369"/>
      <c r="I13" s="369">
        <v>0</v>
      </c>
      <c r="J13" s="369">
        <v>0</v>
      </c>
    </row>
    <row r="14" spans="1:13" ht="18" customHeight="1" x14ac:dyDescent="0.25">
      <c r="A14" s="370" t="s">
        <v>7</v>
      </c>
      <c r="B14" s="371">
        <f>B16+B17+B18+B19+B20+B21+B22</f>
        <v>310148777.59000003</v>
      </c>
      <c r="C14" s="372">
        <v>112185</v>
      </c>
      <c r="D14" s="373">
        <f t="shared" si="1"/>
        <v>310260962.59000003</v>
      </c>
      <c r="E14" s="374"/>
      <c r="F14" s="374"/>
      <c r="G14" s="375">
        <f>+D14-E14-F14</f>
        <v>310260962.59000003</v>
      </c>
      <c r="H14" s="375">
        <v>303018542</v>
      </c>
      <c r="I14" s="375">
        <v>306294692</v>
      </c>
      <c r="J14" s="375">
        <v>306269620</v>
      </c>
    </row>
    <row r="15" spans="1:13" ht="18" customHeight="1" x14ac:dyDescent="0.25">
      <c r="A15" s="365"/>
      <c r="B15" s="376"/>
      <c r="C15" s="367"/>
      <c r="D15" s="356"/>
      <c r="E15" s="368"/>
      <c r="F15" s="368"/>
      <c r="G15" s="369">
        <f t="shared" si="0"/>
        <v>0</v>
      </c>
      <c r="H15" s="369"/>
      <c r="I15" s="369">
        <v>0</v>
      </c>
      <c r="J15" s="369">
        <v>0</v>
      </c>
    </row>
    <row r="16" spans="1:13" ht="18" hidden="1" customHeight="1" x14ac:dyDescent="0.25">
      <c r="A16" s="365" t="s">
        <v>8</v>
      </c>
      <c r="B16" s="378">
        <v>228449585.61000001</v>
      </c>
      <c r="C16" s="377">
        <v>0</v>
      </c>
      <c r="D16" s="356">
        <f t="shared" si="1"/>
        <v>228449585.61000001</v>
      </c>
      <c r="E16" s="368"/>
      <c r="F16" s="368"/>
      <c r="G16" s="369">
        <f t="shared" si="0"/>
        <v>228449585.61000001</v>
      </c>
      <c r="H16" s="369"/>
      <c r="I16" s="369">
        <v>165241506.40000001</v>
      </c>
      <c r="J16" s="369">
        <v>161188664</v>
      </c>
    </row>
    <row r="17" spans="1:10" ht="18" hidden="1" customHeight="1" x14ac:dyDescent="0.25">
      <c r="A17" s="365" t="s">
        <v>9</v>
      </c>
      <c r="B17" s="378">
        <v>18303310.859999999</v>
      </c>
      <c r="C17" s="377">
        <v>0</v>
      </c>
      <c r="D17" s="356">
        <f t="shared" si="1"/>
        <v>18303310.859999999</v>
      </c>
      <c r="E17" s="368"/>
      <c r="F17" s="368"/>
      <c r="G17" s="369">
        <f t="shared" si="0"/>
        <v>18303310.859999999</v>
      </c>
      <c r="H17" s="369"/>
      <c r="I17" s="369">
        <v>7931024.6500000004</v>
      </c>
      <c r="J17" s="369">
        <v>9162513</v>
      </c>
    </row>
    <row r="18" spans="1:10" ht="18" hidden="1" customHeight="1" x14ac:dyDescent="0.25">
      <c r="A18" s="365" t="s">
        <v>10</v>
      </c>
      <c r="B18" s="378">
        <v>16799317.920000002</v>
      </c>
      <c r="C18" s="377">
        <v>0</v>
      </c>
      <c r="D18" s="356">
        <f t="shared" si="1"/>
        <v>16799317.920000002</v>
      </c>
      <c r="E18" s="368"/>
      <c r="F18" s="368"/>
      <c r="G18" s="369">
        <f t="shared" si="0"/>
        <v>16799317.920000002</v>
      </c>
      <c r="H18" s="369"/>
      <c r="I18" s="369">
        <v>19482058.66</v>
      </c>
      <c r="J18" s="369">
        <v>19204439</v>
      </c>
    </row>
    <row r="19" spans="1:10" ht="18" hidden="1" customHeight="1" x14ac:dyDescent="0.25">
      <c r="A19" s="365" t="s">
        <v>11</v>
      </c>
      <c r="B19" s="378">
        <v>34279412.890000001</v>
      </c>
      <c r="C19" s="377">
        <v>0</v>
      </c>
      <c r="D19" s="356">
        <f t="shared" si="1"/>
        <v>34279412.890000001</v>
      </c>
      <c r="E19" s="368"/>
      <c r="F19" s="368"/>
      <c r="G19" s="369">
        <f t="shared" si="0"/>
        <v>34279412.890000001</v>
      </c>
      <c r="H19" s="369"/>
      <c r="I19" s="369">
        <v>33426249.41</v>
      </c>
      <c r="J19" s="369">
        <v>33864967</v>
      </c>
    </row>
    <row r="20" spans="1:10" ht="18" hidden="1" customHeight="1" x14ac:dyDescent="0.25">
      <c r="A20" s="365" t="s">
        <v>12</v>
      </c>
      <c r="B20" s="378">
        <v>5536919.5099999998</v>
      </c>
      <c r="C20" s="377">
        <v>0</v>
      </c>
      <c r="D20" s="356">
        <f t="shared" si="1"/>
        <v>5536919.5099999998</v>
      </c>
      <c r="E20" s="368"/>
      <c r="F20" s="368"/>
      <c r="G20" s="369">
        <f t="shared" si="0"/>
        <v>5536919.5099999998</v>
      </c>
      <c r="H20" s="369"/>
      <c r="I20" s="369">
        <v>4498994.55</v>
      </c>
      <c r="J20" s="369">
        <v>4887846</v>
      </c>
    </row>
    <row r="21" spans="1:10" ht="18" hidden="1" customHeight="1" x14ac:dyDescent="0.25">
      <c r="A21" s="365" t="s">
        <v>13</v>
      </c>
      <c r="B21" s="378">
        <v>6614524.8899999997</v>
      </c>
      <c r="C21" s="377">
        <v>0</v>
      </c>
      <c r="D21" s="356">
        <f t="shared" si="1"/>
        <v>6614524.8899999997</v>
      </c>
      <c r="E21" s="368"/>
      <c r="F21" s="368"/>
      <c r="G21" s="369">
        <f t="shared" si="0"/>
        <v>6614524.8899999997</v>
      </c>
      <c r="H21" s="369"/>
      <c r="I21" s="369">
        <v>75408657.090000004</v>
      </c>
      <c r="J21" s="369">
        <v>77732894</v>
      </c>
    </row>
    <row r="22" spans="1:10" ht="18" hidden="1" customHeight="1" x14ac:dyDescent="0.25">
      <c r="A22" s="365" t="s">
        <v>14</v>
      </c>
      <c r="B22" s="378">
        <v>165705.91</v>
      </c>
      <c r="C22" s="377">
        <v>0</v>
      </c>
      <c r="D22" s="356">
        <f t="shared" si="1"/>
        <v>165705.91</v>
      </c>
      <c r="E22" s="368"/>
      <c r="F22" s="368"/>
      <c r="G22" s="369">
        <f t="shared" si="0"/>
        <v>165705.91</v>
      </c>
      <c r="H22" s="369"/>
      <c r="I22" s="369">
        <v>195366.24</v>
      </c>
      <c r="J22" s="369">
        <v>136082</v>
      </c>
    </row>
    <row r="23" spans="1:10" ht="18" hidden="1" customHeight="1" x14ac:dyDescent="0.25">
      <c r="A23" s="379"/>
      <c r="B23" s="380"/>
      <c r="C23" s="381"/>
      <c r="D23" s="356">
        <f t="shared" si="1"/>
        <v>0</v>
      </c>
      <c r="E23" s="368"/>
      <c r="F23" s="368"/>
      <c r="G23" s="369">
        <f t="shared" si="0"/>
        <v>0</v>
      </c>
      <c r="H23" s="369"/>
      <c r="I23" s="369">
        <v>0</v>
      </c>
      <c r="J23" s="369">
        <v>0</v>
      </c>
    </row>
    <row r="24" spans="1:10" ht="18" customHeight="1" x14ac:dyDescent="0.25">
      <c r="A24" s="370" t="s">
        <v>15</v>
      </c>
      <c r="B24" s="371">
        <v>456924.41</v>
      </c>
      <c r="C24" s="382">
        <v>100454</v>
      </c>
      <c r="D24" s="373">
        <f t="shared" si="1"/>
        <v>557378.40999999992</v>
      </c>
      <c r="E24" s="448">
        <v>60000</v>
      </c>
      <c r="F24" s="449"/>
      <c r="G24" s="375">
        <f>+D24-E24-F24</f>
        <v>497378.40999999992</v>
      </c>
      <c r="H24" s="375">
        <v>509707</v>
      </c>
      <c r="I24" s="375">
        <v>551423.15</v>
      </c>
      <c r="J24" s="375">
        <v>523183</v>
      </c>
    </row>
    <row r="25" spans="1:10" ht="18" hidden="1" customHeight="1" x14ac:dyDescent="0.25">
      <c r="A25" s="365"/>
      <c r="B25" s="366"/>
      <c r="C25" s="383"/>
      <c r="D25" s="356">
        <f t="shared" si="1"/>
        <v>0</v>
      </c>
      <c r="E25" s="450"/>
      <c r="F25" s="450"/>
      <c r="G25" s="369">
        <f>+C25+D25-E25</f>
        <v>0</v>
      </c>
      <c r="H25" s="369">
        <f>+D25+E25-F25</f>
        <v>0</v>
      </c>
      <c r="I25" s="369">
        <v>0</v>
      </c>
      <c r="J25" s="369">
        <v>0</v>
      </c>
    </row>
    <row r="26" spans="1:10" ht="18" customHeight="1" x14ac:dyDescent="0.25">
      <c r="A26" s="379"/>
      <c r="B26" s="380"/>
      <c r="C26" s="384"/>
      <c r="D26" s="356"/>
      <c r="E26" s="450"/>
      <c r="F26" s="450"/>
      <c r="G26" s="369">
        <f>+C26+D26-E26</f>
        <v>0</v>
      </c>
      <c r="H26" s="369">
        <f>+D26+E26-F26</f>
        <v>0</v>
      </c>
      <c r="I26" s="369">
        <v>0</v>
      </c>
      <c r="J26" s="369">
        <v>0</v>
      </c>
    </row>
    <row r="27" spans="1:10" ht="18" customHeight="1" x14ac:dyDescent="0.25">
      <c r="A27" s="359" t="s">
        <v>52</v>
      </c>
      <c r="B27" s="360">
        <f>B29+B31+B43+B45</f>
        <v>770074766.06999993</v>
      </c>
      <c r="C27" s="361">
        <f>C29+C31+C43+C45</f>
        <v>1727433</v>
      </c>
      <c r="D27" s="362">
        <f t="shared" si="1"/>
        <v>771802199.06999993</v>
      </c>
      <c r="E27" s="451"/>
      <c r="F27" s="451"/>
      <c r="G27" s="364">
        <f>G28+G29+G31+G45</f>
        <v>770704355.29999995</v>
      </c>
      <c r="H27" s="364">
        <v>760560754</v>
      </c>
      <c r="I27" s="364">
        <v>608484630.73000002</v>
      </c>
      <c r="J27" s="364">
        <v>723867400</v>
      </c>
    </row>
    <row r="28" spans="1:10" ht="18" customHeight="1" x14ac:dyDescent="0.25">
      <c r="A28" s="385"/>
      <c r="B28" s="380"/>
      <c r="C28" s="386"/>
      <c r="D28" s="356"/>
      <c r="E28" s="450"/>
      <c r="F28" s="450"/>
      <c r="G28" s="387">
        <f>+C28+D28-E28</f>
        <v>0</v>
      </c>
      <c r="H28" s="387">
        <f>+D28+E28-F28</f>
        <v>0</v>
      </c>
      <c r="I28" s="387">
        <v>0</v>
      </c>
      <c r="J28" s="387">
        <v>0</v>
      </c>
    </row>
    <row r="29" spans="1:10" ht="18" customHeight="1" x14ac:dyDescent="0.25">
      <c r="A29" s="370" t="s">
        <v>53</v>
      </c>
      <c r="B29" s="371">
        <v>7794093</v>
      </c>
      <c r="C29" s="382">
        <v>0</v>
      </c>
      <c r="D29" s="373">
        <f t="shared" si="1"/>
        <v>7794093</v>
      </c>
      <c r="E29" s="452"/>
      <c r="F29" s="452"/>
      <c r="G29" s="375">
        <f>+D29-E29-F29</f>
        <v>7794093</v>
      </c>
      <c r="H29" s="375">
        <v>8482310</v>
      </c>
      <c r="I29" s="375">
        <v>22720.42</v>
      </c>
      <c r="J29" s="375">
        <v>214711</v>
      </c>
    </row>
    <row r="30" spans="1:10" ht="18" customHeight="1" x14ac:dyDescent="0.25">
      <c r="A30" s="365"/>
      <c r="B30" s="366"/>
      <c r="C30" s="383"/>
      <c r="D30" s="356"/>
      <c r="E30" s="450"/>
      <c r="F30" s="450"/>
      <c r="G30" s="369">
        <f>+C30+D30-E30</f>
        <v>0</v>
      </c>
      <c r="H30" s="369">
        <f>+D30+E30-F30</f>
        <v>0</v>
      </c>
      <c r="I30" s="369">
        <v>0</v>
      </c>
      <c r="J30" s="369">
        <v>0</v>
      </c>
    </row>
    <row r="31" spans="1:10" ht="18" customHeight="1" x14ac:dyDescent="0.25">
      <c r="A31" s="370" t="s">
        <v>60</v>
      </c>
      <c r="B31" s="371">
        <f>B33+B34+B35+B36+B37+B38+B39+B40+B41</f>
        <v>248839275.74000001</v>
      </c>
      <c r="C31" s="372">
        <v>996082</v>
      </c>
      <c r="D31" s="373">
        <f t="shared" si="1"/>
        <v>249835357.74000001</v>
      </c>
      <c r="E31" s="448">
        <v>12094.83</v>
      </c>
      <c r="F31" s="448">
        <v>1085748.94</v>
      </c>
      <c r="G31" s="375">
        <f>+D31-E31-F31</f>
        <v>248737513.97</v>
      </c>
      <c r="H31" s="375">
        <v>238602891</v>
      </c>
      <c r="I31" s="375">
        <v>228943227.95999998</v>
      </c>
      <c r="J31" s="375">
        <v>263731406</v>
      </c>
    </row>
    <row r="32" spans="1:10" ht="18" customHeight="1" x14ac:dyDescent="0.25">
      <c r="A32" s="365"/>
      <c r="B32" s="376"/>
      <c r="C32" s="388"/>
      <c r="D32" s="356"/>
      <c r="E32" s="450"/>
      <c r="F32" s="450"/>
      <c r="G32" s="369">
        <f t="shared" ref="G32:H57" si="2">+C32+D32-E32</f>
        <v>0</v>
      </c>
      <c r="H32" s="369"/>
      <c r="I32" s="369">
        <v>0</v>
      </c>
      <c r="J32" s="369">
        <v>0</v>
      </c>
    </row>
    <row r="33" spans="1:11" ht="18" hidden="1" customHeight="1" x14ac:dyDescent="0.25">
      <c r="A33" s="365" t="s">
        <v>16</v>
      </c>
      <c r="B33" s="378">
        <f>43964441.87+4835928</f>
        <v>48800369.869999997</v>
      </c>
      <c r="C33" s="377">
        <v>0</v>
      </c>
      <c r="D33" s="356">
        <f t="shared" si="1"/>
        <v>48800369.869999997</v>
      </c>
      <c r="E33" s="450"/>
      <c r="F33" s="450"/>
      <c r="G33" s="369">
        <f t="shared" si="2"/>
        <v>48800369.869999997</v>
      </c>
      <c r="H33" s="369"/>
      <c r="I33" s="369">
        <v>49743521.899999999</v>
      </c>
      <c r="J33" s="369">
        <v>24307054</v>
      </c>
    </row>
    <row r="34" spans="1:11" ht="18" hidden="1" customHeight="1" x14ac:dyDescent="0.25">
      <c r="A34" s="365" t="s">
        <v>17</v>
      </c>
      <c r="B34" s="378">
        <v>29244888.27</v>
      </c>
      <c r="C34" s="377">
        <v>0</v>
      </c>
      <c r="D34" s="356">
        <f t="shared" si="1"/>
        <v>29244888.27</v>
      </c>
      <c r="E34" s="450"/>
      <c r="F34" s="450"/>
      <c r="G34" s="369">
        <f t="shared" si="2"/>
        <v>29244888.27</v>
      </c>
      <c r="H34" s="369"/>
      <c r="I34" s="369">
        <v>14726259.109999999</v>
      </c>
      <c r="J34" s="369">
        <v>35913176</v>
      </c>
    </row>
    <row r="35" spans="1:11" ht="18" hidden="1" customHeight="1" x14ac:dyDescent="0.25">
      <c r="A35" s="365" t="s">
        <v>18</v>
      </c>
      <c r="B35" s="378">
        <v>1242694.48</v>
      </c>
      <c r="C35" s="377">
        <v>0</v>
      </c>
      <c r="D35" s="356">
        <f t="shared" si="1"/>
        <v>1242694.48</v>
      </c>
      <c r="E35" s="450"/>
      <c r="F35" s="450"/>
      <c r="G35" s="369">
        <f t="shared" si="2"/>
        <v>1242694.48</v>
      </c>
      <c r="H35" s="369"/>
      <c r="I35" s="369">
        <v>427812.65</v>
      </c>
      <c r="J35" s="369">
        <v>4578200</v>
      </c>
    </row>
    <row r="36" spans="1:11" ht="18" hidden="1" customHeight="1" x14ac:dyDescent="0.25">
      <c r="A36" s="365" t="s">
        <v>62</v>
      </c>
      <c r="B36" s="378">
        <v>40352316.020000003</v>
      </c>
      <c r="C36" s="377">
        <v>0</v>
      </c>
      <c r="D36" s="356">
        <f t="shared" si="1"/>
        <v>40352316.020000003</v>
      </c>
      <c r="E36" s="450"/>
      <c r="F36" s="450"/>
      <c r="G36" s="369">
        <f t="shared" si="2"/>
        <v>40352316.020000003</v>
      </c>
      <c r="H36" s="369"/>
      <c r="I36" s="369">
        <v>24334206.059999999</v>
      </c>
      <c r="J36" s="369">
        <v>45822280</v>
      </c>
    </row>
    <row r="37" spans="1:11" ht="18" hidden="1" customHeight="1" x14ac:dyDescent="0.25">
      <c r="A37" s="365" t="s">
        <v>19</v>
      </c>
      <c r="B37" s="378">
        <v>1891751.71</v>
      </c>
      <c r="C37" s="377">
        <v>0</v>
      </c>
      <c r="D37" s="356">
        <f t="shared" si="1"/>
        <v>1891751.71</v>
      </c>
      <c r="E37" s="450"/>
      <c r="F37" s="450"/>
      <c r="G37" s="369">
        <f t="shared" si="2"/>
        <v>1891751.71</v>
      </c>
      <c r="H37" s="369"/>
      <c r="I37" s="369">
        <v>1667494.73</v>
      </c>
      <c r="J37" s="369">
        <v>1704382</v>
      </c>
    </row>
    <row r="38" spans="1:11" ht="18" hidden="1" customHeight="1" x14ac:dyDescent="0.25">
      <c r="A38" s="365" t="s">
        <v>20</v>
      </c>
      <c r="B38" s="378">
        <v>82316158.560000002</v>
      </c>
      <c r="C38" s="377">
        <v>0</v>
      </c>
      <c r="D38" s="356">
        <f t="shared" si="1"/>
        <v>82316158.560000002</v>
      </c>
      <c r="E38" s="450"/>
      <c r="F38" s="450"/>
      <c r="G38" s="369">
        <f t="shared" si="2"/>
        <v>82316158.560000002</v>
      </c>
      <c r="H38" s="369"/>
      <c r="I38" s="369">
        <v>93843687.069999993</v>
      </c>
      <c r="J38" s="369">
        <v>105696406</v>
      </c>
    </row>
    <row r="39" spans="1:11" ht="18" hidden="1" customHeight="1" x14ac:dyDescent="0.25">
      <c r="A39" s="365" t="s">
        <v>21</v>
      </c>
      <c r="B39" s="378">
        <v>389.48</v>
      </c>
      <c r="C39" s="377">
        <v>0</v>
      </c>
      <c r="D39" s="356">
        <f t="shared" si="1"/>
        <v>389.48</v>
      </c>
      <c r="E39" s="450"/>
      <c r="F39" s="450"/>
      <c r="G39" s="369">
        <f t="shared" si="2"/>
        <v>389.48</v>
      </c>
      <c r="H39" s="369"/>
      <c r="I39" s="369">
        <v>0</v>
      </c>
      <c r="J39" s="369">
        <v>0</v>
      </c>
    </row>
    <row r="40" spans="1:11" ht="18" hidden="1" customHeight="1" x14ac:dyDescent="0.25">
      <c r="A40" s="365" t="s">
        <v>22</v>
      </c>
      <c r="B40" s="378">
        <v>11038042.289999999</v>
      </c>
      <c r="C40" s="377">
        <v>0</v>
      </c>
      <c r="D40" s="356">
        <f t="shared" si="1"/>
        <v>11038042.289999999</v>
      </c>
      <c r="E40" s="450"/>
      <c r="F40" s="450"/>
      <c r="G40" s="369">
        <f t="shared" si="2"/>
        <v>11038042.289999999</v>
      </c>
      <c r="H40" s="369"/>
      <c r="I40" s="369">
        <v>8567762.6500000004</v>
      </c>
      <c r="J40" s="369">
        <v>11194247</v>
      </c>
    </row>
    <row r="41" spans="1:11" ht="18" hidden="1" customHeight="1" x14ac:dyDescent="0.25">
      <c r="A41" s="365" t="s">
        <v>23</v>
      </c>
      <c r="B41" s="378">
        <v>33952665.060000002</v>
      </c>
      <c r="C41" s="377">
        <v>0</v>
      </c>
      <c r="D41" s="356">
        <f t="shared" si="1"/>
        <v>33952665.060000002</v>
      </c>
      <c r="E41" s="450"/>
      <c r="F41" s="450"/>
      <c r="G41" s="369">
        <f t="shared" si="2"/>
        <v>33952665.060000002</v>
      </c>
      <c r="H41" s="369"/>
      <c r="I41" s="369">
        <v>35563437.789999999</v>
      </c>
      <c r="J41" s="369">
        <v>33942621</v>
      </c>
    </row>
    <row r="42" spans="1:11" ht="18" hidden="1" customHeight="1" x14ac:dyDescent="0.25">
      <c r="A42" s="379"/>
      <c r="B42" s="389"/>
      <c r="C42" s="381"/>
      <c r="D42" s="356">
        <f t="shared" si="1"/>
        <v>0</v>
      </c>
      <c r="E42" s="450"/>
      <c r="F42" s="450"/>
      <c r="G42" s="369">
        <f t="shared" si="2"/>
        <v>0</v>
      </c>
      <c r="H42" s="369"/>
      <c r="I42" s="369">
        <v>0</v>
      </c>
      <c r="J42" s="369">
        <v>0</v>
      </c>
    </row>
    <row r="43" spans="1:11" ht="18" customHeight="1" x14ac:dyDescent="0.25">
      <c r="A43" s="370" t="s">
        <v>24</v>
      </c>
      <c r="B43" s="390">
        <v>0</v>
      </c>
      <c r="C43" s="391">
        <v>0</v>
      </c>
      <c r="D43" s="382">
        <v>0</v>
      </c>
      <c r="E43" s="452"/>
      <c r="F43" s="452"/>
      <c r="G43" s="375">
        <f>+D43-E43-F43</f>
        <v>0</v>
      </c>
      <c r="H43" s="375"/>
      <c r="I43" s="375">
        <v>0</v>
      </c>
      <c r="J43" s="375">
        <v>0</v>
      </c>
    </row>
    <row r="44" spans="1:11" ht="18" customHeight="1" x14ac:dyDescent="0.25">
      <c r="A44" s="392"/>
      <c r="B44" s="380"/>
      <c r="C44" s="384"/>
      <c r="D44" s="356"/>
      <c r="E44" s="450"/>
      <c r="F44" s="450"/>
      <c r="G44" s="369">
        <f t="shared" si="2"/>
        <v>0</v>
      </c>
      <c r="H44" s="369">
        <f t="shared" si="2"/>
        <v>0</v>
      </c>
      <c r="I44" s="369">
        <v>0</v>
      </c>
      <c r="J44" s="369">
        <v>0</v>
      </c>
    </row>
    <row r="45" spans="1:11" ht="18" customHeight="1" x14ac:dyDescent="0.25">
      <c r="A45" s="370" t="s">
        <v>25</v>
      </c>
      <c r="B45" s="371">
        <f>B47+B48</f>
        <v>513441397.32999998</v>
      </c>
      <c r="C45" s="372">
        <v>731351</v>
      </c>
      <c r="D45" s="373">
        <f t="shared" si="1"/>
        <v>514172748.32999998</v>
      </c>
      <c r="E45" s="452"/>
      <c r="F45" s="452"/>
      <c r="G45" s="375">
        <f>+D45-E45-F45</f>
        <v>514172748.32999998</v>
      </c>
      <c r="H45" s="375">
        <v>513475553</v>
      </c>
      <c r="I45" s="375">
        <v>379518682.35000002</v>
      </c>
      <c r="J45" s="375">
        <v>459921283</v>
      </c>
      <c r="K45" s="393"/>
    </row>
    <row r="46" spans="1:11" ht="18" customHeight="1" x14ac:dyDescent="0.25">
      <c r="A46" s="365"/>
      <c r="B46" s="376"/>
      <c r="C46" s="388"/>
      <c r="D46" s="356"/>
      <c r="E46" s="450"/>
      <c r="F46" s="450"/>
      <c r="G46" s="369">
        <f t="shared" si="2"/>
        <v>0</v>
      </c>
      <c r="H46" s="369">
        <f t="shared" si="2"/>
        <v>0</v>
      </c>
      <c r="I46" s="369">
        <v>0</v>
      </c>
      <c r="J46" s="369">
        <v>0</v>
      </c>
    </row>
    <row r="47" spans="1:11" ht="18" hidden="1" customHeight="1" x14ac:dyDescent="0.25">
      <c r="A47" s="365" t="s">
        <v>26</v>
      </c>
      <c r="B47" s="378">
        <v>513425571.81999999</v>
      </c>
      <c r="C47" s="377">
        <v>0</v>
      </c>
      <c r="D47" s="356">
        <f t="shared" si="1"/>
        <v>513425571.81999999</v>
      </c>
      <c r="E47" s="450"/>
      <c r="F47" s="450"/>
      <c r="G47" s="369">
        <f t="shared" si="2"/>
        <v>513425571.81999999</v>
      </c>
      <c r="H47" s="369"/>
      <c r="I47" s="369">
        <v>378407023</v>
      </c>
      <c r="J47" s="369">
        <v>458924686</v>
      </c>
    </row>
    <row r="48" spans="1:11" ht="18" hidden="1" customHeight="1" x14ac:dyDescent="0.25">
      <c r="A48" s="365" t="s">
        <v>27</v>
      </c>
      <c r="B48" s="378">
        <v>15825.51</v>
      </c>
      <c r="C48" s="377">
        <v>0</v>
      </c>
      <c r="D48" s="356">
        <f t="shared" si="1"/>
        <v>15825.51</v>
      </c>
      <c r="E48" s="450"/>
      <c r="F48" s="450"/>
      <c r="G48" s="369">
        <f t="shared" si="2"/>
        <v>15825.51</v>
      </c>
      <c r="H48" s="369"/>
      <c r="I48" s="369">
        <v>22556.35</v>
      </c>
      <c r="J48" s="369">
        <v>33979</v>
      </c>
    </row>
    <row r="49" spans="1:11" ht="18" hidden="1" customHeight="1" x14ac:dyDescent="0.25">
      <c r="A49" s="394"/>
      <c r="B49" s="395"/>
      <c r="C49" s="396"/>
      <c r="D49" s="356">
        <f t="shared" si="1"/>
        <v>0</v>
      </c>
      <c r="E49" s="450"/>
      <c r="F49" s="450"/>
      <c r="G49" s="369">
        <f t="shared" si="2"/>
        <v>0</v>
      </c>
      <c r="H49" s="369">
        <f t="shared" si="2"/>
        <v>0</v>
      </c>
      <c r="I49" s="369">
        <v>0</v>
      </c>
      <c r="J49" s="369">
        <v>0</v>
      </c>
    </row>
    <row r="50" spans="1:11" ht="18" customHeight="1" x14ac:dyDescent="0.25">
      <c r="A50" s="359" t="s">
        <v>169</v>
      </c>
      <c r="B50" s="360">
        <f>B52</f>
        <v>14863715</v>
      </c>
      <c r="C50" s="361">
        <v>63309</v>
      </c>
      <c r="D50" s="362">
        <f t="shared" si="1"/>
        <v>14927024</v>
      </c>
      <c r="E50" s="451"/>
      <c r="F50" s="451"/>
      <c r="G50" s="364">
        <f t="shared" si="2"/>
        <v>14990333</v>
      </c>
      <c r="H50" s="364">
        <v>13128103</v>
      </c>
      <c r="I50" s="364">
        <v>10375127.720000001</v>
      </c>
      <c r="J50" s="364">
        <v>13056560</v>
      </c>
    </row>
    <row r="51" spans="1:11" ht="18" customHeight="1" x14ac:dyDescent="0.25">
      <c r="A51" s="397"/>
      <c r="B51" s="398"/>
      <c r="C51" s="399"/>
      <c r="D51" s="356">
        <f t="shared" si="1"/>
        <v>0</v>
      </c>
      <c r="E51" s="450"/>
      <c r="F51" s="450"/>
      <c r="G51" s="369">
        <f t="shared" si="2"/>
        <v>0</v>
      </c>
      <c r="H51" s="369">
        <f t="shared" si="2"/>
        <v>0</v>
      </c>
      <c r="I51" s="369">
        <v>0</v>
      </c>
      <c r="J51" s="369">
        <v>0</v>
      </c>
    </row>
    <row r="52" spans="1:11" ht="18" customHeight="1" x14ac:dyDescent="0.25">
      <c r="A52" s="365" t="s">
        <v>65</v>
      </c>
      <c r="B52" s="376">
        <v>14863715</v>
      </c>
      <c r="C52" s="400">
        <v>0</v>
      </c>
      <c r="D52" s="356">
        <f t="shared" si="1"/>
        <v>14863715</v>
      </c>
      <c r="E52" s="450"/>
      <c r="F52" s="450"/>
      <c r="G52" s="375">
        <f>+D52-E52-F52</f>
        <v>14863715</v>
      </c>
      <c r="H52" s="369">
        <v>13011738</v>
      </c>
      <c r="I52" s="369">
        <v>10307476.720000001</v>
      </c>
      <c r="J52" s="369">
        <v>12836685</v>
      </c>
    </row>
    <row r="53" spans="1:11" ht="18" customHeight="1" x14ac:dyDescent="0.25">
      <c r="A53" s="365"/>
      <c r="B53" s="366"/>
      <c r="C53" s="377"/>
      <c r="D53" s="356">
        <f t="shared" si="1"/>
        <v>0</v>
      </c>
      <c r="E53" s="450"/>
      <c r="F53" s="450"/>
      <c r="G53" s="369">
        <f t="shared" si="2"/>
        <v>0</v>
      </c>
      <c r="H53" s="369">
        <f t="shared" si="2"/>
        <v>0</v>
      </c>
      <c r="I53" s="369">
        <v>0</v>
      </c>
      <c r="J53" s="369">
        <v>0</v>
      </c>
    </row>
    <row r="54" spans="1:11" ht="18" customHeight="1" x14ac:dyDescent="0.25">
      <c r="A54" s="359" t="s">
        <v>160</v>
      </c>
      <c r="B54" s="360">
        <f>B56</f>
        <v>696587</v>
      </c>
      <c r="C54" s="401">
        <f>C56</f>
        <v>0</v>
      </c>
      <c r="D54" s="362">
        <f t="shared" si="1"/>
        <v>696587</v>
      </c>
      <c r="E54" s="451"/>
      <c r="F54" s="451"/>
      <c r="G54" s="364">
        <f t="shared" si="2"/>
        <v>696587</v>
      </c>
      <c r="H54" s="364">
        <v>922560</v>
      </c>
      <c r="I54" s="402">
        <v>703174.14</v>
      </c>
      <c r="J54" s="402">
        <v>1063014</v>
      </c>
    </row>
    <row r="55" spans="1:11" ht="18" customHeight="1" x14ac:dyDescent="0.25">
      <c r="A55" s="403"/>
      <c r="B55" s="376"/>
      <c r="C55" s="377"/>
      <c r="D55" s="356">
        <f t="shared" si="1"/>
        <v>0</v>
      </c>
      <c r="E55" s="450"/>
      <c r="F55" s="450"/>
      <c r="G55" s="369">
        <f t="shared" si="2"/>
        <v>0</v>
      </c>
      <c r="H55" s="369">
        <f t="shared" si="2"/>
        <v>0</v>
      </c>
      <c r="I55" s="369">
        <v>0</v>
      </c>
      <c r="J55" s="369">
        <v>0</v>
      </c>
    </row>
    <row r="56" spans="1:11" ht="18" customHeight="1" x14ac:dyDescent="0.25">
      <c r="A56" s="365" t="s">
        <v>66</v>
      </c>
      <c r="B56" s="376">
        <v>696587</v>
      </c>
      <c r="C56" s="377">
        <v>0</v>
      </c>
      <c r="D56" s="356">
        <f t="shared" si="1"/>
        <v>696587</v>
      </c>
      <c r="E56" s="450"/>
      <c r="F56" s="450"/>
      <c r="G56" s="375">
        <f>+D56-E56-F56</f>
        <v>696587</v>
      </c>
      <c r="H56" s="369">
        <v>922560</v>
      </c>
      <c r="I56" s="369">
        <v>703174.14</v>
      </c>
      <c r="J56" s="369">
        <v>1063014</v>
      </c>
    </row>
    <row r="57" spans="1:11" ht="18" customHeight="1" thickBot="1" x14ac:dyDescent="0.3">
      <c r="A57" s="379"/>
      <c r="B57" s="380"/>
      <c r="C57" s="381"/>
      <c r="D57" s="356"/>
      <c r="E57" s="450"/>
      <c r="F57" s="450"/>
      <c r="G57" s="369">
        <f t="shared" si="2"/>
        <v>0</v>
      </c>
      <c r="H57" s="369">
        <f t="shared" si="2"/>
        <v>0</v>
      </c>
      <c r="I57" s="369">
        <v>0</v>
      </c>
      <c r="J57" s="369">
        <v>0</v>
      </c>
    </row>
    <row r="58" spans="1:11" ht="18" customHeight="1" thickBot="1" x14ac:dyDescent="0.3">
      <c r="A58" s="346" t="s">
        <v>54</v>
      </c>
      <c r="B58" s="404">
        <f>B4+B27+B50+B54-1</f>
        <v>1110486471.5999999</v>
      </c>
      <c r="C58" s="405">
        <f>C4+C27+C50+C54</f>
        <v>2018072</v>
      </c>
      <c r="D58" s="406">
        <f t="shared" si="1"/>
        <v>1112504543.5999999</v>
      </c>
      <c r="E58" s="407">
        <f>SUM(E4:E57)</f>
        <v>72094.83</v>
      </c>
      <c r="F58" s="407">
        <f>SUM(F4:F57)</f>
        <v>1085748.94</v>
      </c>
      <c r="G58" s="408">
        <f>+D58-E58-F58</f>
        <v>1111346699.8299999</v>
      </c>
      <c r="H58" s="408">
        <v>1087712886</v>
      </c>
      <c r="I58" s="408">
        <v>927701911.22000003</v>
      </c>
      <c r="J58" s="408">
        <v>1051103163</v>
      </c>
    </row>
    <row r="59" spans="1:11" ht="18" customHeight="1" thickBot="1" x14ac:dyDescent="0.3">
      <c r="A59" s="409" t="s">
        <v>55</v>
      </c>
      <c r="B59" s="410">
        <v>282728267</v>
      </c>
      <c r="C59" s="411">
        <v>0</v>
      </c>
      <c r="D59" s="412">
        <f t="shared" si="1"/>
        <v>282728267</v>
      </c>
      <c r="E59" s="413"/>
      <c r="F59" s="413"/>
      <c r="G59" s="414">
        <f>+C59+D59-E59</f>
        <v>282728267</v>
      </c>
      <c r="H59" s="414">
        <v>279834923</v>
      </c>
      <c r="I59" s="414">
        <v>279701992.16000003</v>
      </c>
      <c r="J59" s="414">
        <v>279821860</v>
      </c>
      <c r="K59" s="415"/>
    </row>
    <row r="60" spans="1:11" x14ac:dyDescent="0.25">
      <c r="A60" s="416"/>
      <c r="B60" s="417"/>
      <c r="C60" s="418"/>
      <c r="E60" s="450"/>
      <c r="F60" s="450"/>
      <c r="G60" s="420"/>
      <c r="H60" s="420"/>
      <c r="I60" s="420"/>
      <c r="J60" s="420"/>
      <c r="K60" s="415"/>
    </row>
    <row r="61" spans="1:11" ht="19" thickBot="1" x14ac:dyDescent="0.3">
      <c r="A61" s="416"/>
      <c r="B61" s="417"/>
      <c r="C61" s="418"/>
      <c r="E61" s="450"/>
      <c r="F61" s="450"/>
      <c r="G61" s="421"/>
      <c r="H61" s="421"/>
      <c r="I61" s="421"/>
      <c r="J61" s="421"/>
    </row>
    <row r="62" spans="1:11" ht="34.5" customHeight="1" thickBot="1" x14ac:dyDescent="0.3">
      <c r="A62" s="346" t="s">
        <v>59</v>
      </c>
      <c r="B62" s="347" t="s">
        <v>71</v>
      </c>
      <c r="C62" s="348" t="s">
        <v>72</v>
      </c>
      <c r="D62" s="349" t="s">
        <v>73</v>
      </c>
      <c r="E62" s="350" t="s">
        <v>157</v>
      </c>
      <c r="F62" s="350" t="s">
        <v>158</v>
      </c>
      <c r="G62" s="351" t="s">
        <v>172</v>
      </c>
      <c r="H62" s="351" t="s">
        <v>163</v>
      </c>
      <c r="I62" s="351" t="s">
        <v>154</v>
      </c>
      <c r="J62" s="351" t="s">
        <v>161</v>
      </c>
    </row>
    <row r="63" spans="1:11" ht="18" customHeight="1" x14ac:dyDescent="0.25">
      <c r="A63" s="353"/>
      <c r="B63" s="366"/>
      <c r="C63" s="388"/>
      <c r="D63" s="356"/>
      <c r="E63" s="450"/>
      <c r="F63" s="450"/>
      <c r="G63" s="387">
        <f>+C63+D63-E63</f>
        <v>0</v>
      </c>
      <c r="H63" s="387">
        <f>+D63+E63-F63</f>
        <v>0</v>
      </c>
      <c r="I63" s="387">
        <v>0</v>
      </c>
      <c r="J63" s="387">
        <v>0</v>
      </c>
      <c r="K63" s="422"/>
    </row>
    <row r="64" spans="1:11" ht="18" customHeight="1" x14ac:dyDescent="0.25">
      <c r="A64" s="359" t="s">
        <v>168</v>
      </c>
      <c r="B64" s="360">
        <f>B66+B68+B74+B75</f>
        <v>638889324.61000013</v>
      </c>
      <c r="C64" s="361">
        <f>C66+C68+C74</f>
        <v>1427526</v>
      </c>
      <c r="D64" s="362">
        <f>+B64+C64</f>
        <v>640316850.61000013</v>
      </c>
      <c r="E64" s="451"/>
      <c r="F64" s="423">
        <f>F66+F68+F74</f>
        <v>60000</v>
      </c>
      <c r="G64" s="364">
        <f>G66+G68+G74</f>
        <v>640256850.61000013</v>
      </c>
      <c r="H64" s="364">
        <v>616480114</v>
      </c>
      <c r="I64" s="364">
        <v>532750886.99000001</v>
      </c>
      <c r="J64" s="364">
        <v>551844092.12</v>
      </c>
    </row>
    <row r="65" spans="1:10" ht="18" customHeight="1" x14ac:dyDescent="0.25">
      <c r="A65" s="365"/>
      <c r="B65" s="366"/>
      <c r="C65" s="424"/>
      <c r="D65" s="356"/>
      <c r="E65" s="450"/>
      <c r="F65" s="450"/>
      <c r="G65" s="369">
        <f t="shared" ref="G65:H73" si="3">+C65+D65-E65</f>
        <v>0</v>
      </c>
      <c r="H65" s="369">
        <f t="shared" si="3"/>
        <v>0</v>
      </c>
      <c r="I65" s="369">
        <v>0</v>
      </c>
      <c r="J65" s="369">
        <v>0</v>
      </c>
    </row>
    <row r="66" spans="1:10" ht="18" customHeight="1" x14ac:dyDescent="0.25">
      <c r="A66" s="370" t="s">
        <v>30</v>
      </c>
      <c r="B66" s="371">
        <v>107139198</v>
      </c>
      <c r="C66" s="425">
        <v>60000</v>
      </c>
      <c r="D66" s="373">
        <f>+B66+C66</f>
        <v>107199198</v>
      </c>
      <c r="E66" s="452"/>
      <c r="F66" s="448">
        <v>60000</v>
      </c>
      <c r="G66" s="375">
        <f>+D66-E66-F66</f>
        <v>107139198</v>
      </c>
      <c r="H66" s="375">
        <v>107139198</v>
      </c>
      <c r="I66" s="375">
        <v>107139198.12</v>
      </c>
      <c r="J66" s="375">
        <v>107139198.12</v>
      </c>
    </row>
    <row r="67" spans="1:10" ht="18" customHeight="1" x14ac:dyDescent="0.25">
      <c r="A67" s="365"/>
      <c r="B67" s="366"/>
      <c r="C67" s="426"/>
      <c r="D67" s="356"/>
      <c r="E67" s="450"/>
      <c r="F67" s="450"/>
      <c r="G67" s="369">
        <f t="shared" si="3"/>
        <v>0</v>
      </c>
      <c r="H67" s="369">
        <f t="shared" si="3"/>
        <v>0</v>
      </c>
      <c r="I67" s="369">
        <v>0</v>
      </c>
      <c r="J67" s="369">
        <v>0</v>
      </c>
    </row>
    <row r="68" spans="1:10" ht="18" customHeight="1" x14ac:dyDescent="0.25">
      <c r="A68" s="370" t="s">
        <v>31</v>
      </c>
      <c r="B68" s="427">
        <f>B71+B72+B70</f>
        <v>471918992.92000002</v>
      </c>
      <c r="C68" s="400">
        <v>0</v>
      </c>
      <c r="D68" s="373">
        <f>+B68+C68</f>
        <v>471918992.92000002</v>
      </c>
      <c r="E68" s="452"/>
      <c r="F68" s="452"/>
      <c r="G68" s="375">
        <f>+D68-E68-F68</f>
        <v>471918992.92000002</v>
      </c>
      <c r="H68" s="375">
        <v>417016539</v>
      </c>
      <c r="I68" s="375">
        <v>341664513.36000001</v>
      </c>
      <c r="J68" s="375">
        <v>391501398</v>
      </c>
    </row>
    <row r="69" spans="1:10" ht="18" customHeight="1" x14ac:dyDescent="0.25">
      <c r="A69" s="353"/>
      <c r="B69" s="354"/>
      <c r="C69" s="428"/>
      <c r="D69" s="356"/>
      <c r="E69" s="450"/>
      <c r="F69" s="450"/>
      <c r="G69" s="369">
        <f t="shared" si="3"/>
        <v>0</v>
      </c>
      <c r="H69" s="369">
        <f t="shared" si="3"/>
        <v>0</v>
      </c>
      <c r="I69" s="369">
        <v>0</v>
      </c>
      <c r="J69" s="369">
        <v>0</v>
      </c>
    </row>
    <row r="70" spans="1:10" ht="18" hidden="1" customHeight="1" x14ac:dyDescent="0.25">
      <c r="A70" s="365" t="s">
        <v>32</v>
      </c>
      <c r="B70" s="378">
        <v>10752068.550000001</v>
      </c>
      <c r="C70" s="426">
        <v>0</v>
      </c>
      <c r="D70" s="356">
        <f t="shared" ref="D70:D119" si="4">+B70+C70</f>
        <v>10752068.550000001</v>
      </c>
      <c r="E70" s="450"/>
      <c r="F70" s="450"/>
      <c r="G70" s="369">
        <f t="shared" si="3"/>
        <v>10752068.550000001</v>
      </c>
      <c r="H70" s="369">
        <f t="shared" si="3"/>
        <v>10752068.550000001</v>
      </c>
      <c r="I70" s="369">
        <v>11243232.189999999</v>
      </c>
      <c r="J70" s="369">
        <v>11877309</v>
      </c>
    </row>
    <row r="71" spans="1:10" ht="18" hidden="1" customHeight="1" x14ac:dyDescent="0.25">
      <c r="A71" s="365" t="s">
        <v>33</v>
      </c>
      <c r="B71" s="378">
        <v>370111325.88</v>
      </c>
      <c r="C71" s="426">
        <v>0</v>
      </c>
      <c r="D71" s="356">
        <f t="shared" si="4"/>
        <v>370111325.88</v>
      </c>
      <c r="E71" s="450"/>
      <c r="F71" s="450"/>
      <c r="G71" s="369">
        <f t="shared" si="3"/>
        <v>370111325.88</v>
      </c>
      <c r="H71" s="369">
        <f t="shared" si="3"/>
        <v>370111325.88</v>
      </c>
      <c r="I71" s="369">
        <v>238329965.06999999</v>
      </c>
      <c r="J71" s="369">
        <v>290935729</v>
      </c>
    </row>
    <row r="72" spans="1:10" ht="18" hidden="1" customHeight="1" x14ac:dyDescent="0.25">
      <c r="A72" s="365" t="s">
        <v>63</v>
      </c>
      <c r="B72" s="378">
        <v>91055598.489999995</v>
      </c>
      <c r="C72" s="426">
        <v>0</v>
      </c>
      <c r="D72" s="356">
        <f t="shared" si="4"/>
        <v>91055598.489999995</v>
      </c>
      <c r="E72" s="450"/>
      <c r="F72" s="450"/>
      <c r="G72" s="369">
        <f t="shared" si="3"/>
        <v>91055598.489999995</v>
      </c>
      <c r="H72" s="369">
        <f t="shared" si="3"/>
        <v>91055598.489999995</v>
      </c>
      <c r="I72" s="369">
        <v>92091316.099999994</v>
      </c>
      <c r="J72" s="369">
        <v>88688360</v>
      </c>
    </row>
    <row r="73" spans="1:10" ht="18" hidden="1" customHeight="1" x14ac:dyDescent="0.25">
      <c r="A73" s="379"/>
      <c r="B73" s="380"/>
      <c r="C73" s="429"/>
      <c r="D73" s="356">
        <f t="shared" si="4"/>
        <v>0</v>
      </c>
      <c r="E73" s="450"/>
      <c r="F73" s="450"/>
      <c r="G73" s="369">
        <f t="shared" si="3"/>
        <v>0</v>
      </c>
      <c r="H73" s="369">
        <f t="shared" si="3"/>
        <v>0</v>
      </c>
      <c r="I73" s="369">
        <v>0</v>
      </c>
      <c r="J73" s="369">
        <v>0</v>
      </c>
    </row>
    <row r="74" spans="1:10" ht="18" customHeight="1" x14ac:dyDescent="0.25">
      <c r="A74" s="370" t="s">
        <v>34</v>
      </c>
      <c r="B74" s="427">
        <f>B77+B78+B79</f>
        <v>59831133.689999998</v>
      </c>
      <c r="C74" s="372">
        <f>1344667+22859</f>
        <v>1367526</v>
      </c>
      <c r="D74" s="373">
        <f>+B74+C74</f>
        <v>61198659.689999998</v>
      </c>
      <c r="E74" s="453"/>
      <c r="F74" s="453"/>
      <c r="G74" s="375">
        <f>+D74-E74-F74</f>
        <v>61198659.689999998</v>
      </c>
      <c r="H74" s="375">
        <v>92324376</v>
      </c>
      <c r="I74" s="375">
        <v>83947175.50999999</v>
      </c>
      <c r="J74" s="375">
        <v>53203496</v>
      </c>
    </row>
    <row r="75" spans="1:10" ht="18" hidden="1" customHeight="1" x14ac:dyDescent="0.25">
      <c r="A75" s="353"/>
      <c r="B75" s="430"/>
      <c r="C75" s="431"/>
      <c r="D75" s="356">
        <f t="shared" si="4"/>
        <v>0</v>
      </c>
      <c r="E75" s="450"/>
      <c r="F75" s="450"/>
      <c r="G75" s="369">
        <f t="shared" ref="G75:H85" si="5">+C75+D75-E75</f>
        <v>0</v>
      </c>
      <c r="H75" s="369">
        <f t="shared" si="5"/>
        <v>0</v>
      </c>
      <c r="I75" s="369">
        <v>0</v>
      </c>
      <c r="J75" s="369">
        <v>0</v>
      </c>
    </row>
    <row r="76" spans="1:10" ht="18" hidden="1" customHeight="1" x14ac:dyDescent="0.25">
      <c r="A76" s="353"/>
      <c r="B76" s="354"/>
      <c r="C76" s="432"/>
      <c r="D76" s="356"/>
      <c r="E76" s="450"/>
      <c r="F76" s="450"/>
      <c r="G76" s="369">
        <f t="shared" si="5"/>
        <v>0</v>
      </c>
      <c r="H76" s="369">
        <f t="shared" si="5"/>
        <v>0</v>
      </c>
      <c r="I76" s="369">
        <v>0</v>
      </c>
      <c r="J76" s="369">
        <v>0</v>
      </c>
    </row>
    <row r="77" spans="1:10" ht="18" hidden="1" customHeight="1" x14ac:dyDescent="0.25">
      <c r="A77" s="365" t="s">
        <v>35</v>
      </c>
      <c r="B77" s="378">
        <v>34217297.289999999</v>
      </c>
      <c r="C77" s="424">
        <v>0</v>
      </c>
      <c r="D77" s="356"/>
      <c r="E77" s="450"/>
      <c r="F77" s="450"/>
      <c r="G77" s="369">
        <f t="shared" si="5"/>
        <v>0</v>
      </c>
      <c r="H77" s="369">
        <f t="shared" si="5"/>
        <v>0</v>
      </c>
      <c r="I77" s="369">
        <v>0</v>
      </c>
      <c r="J77" s="369">
        <v>0</v>
      </c>
    </row>
    <row r="78" spans="1:10" ht="18" hidden="1" customHeight="1" x14ac:dyDescent="0.25">
      <c r="A78" s="365" t="s">
        <v>36</v>
      </c>
      <c r="B78" s="378">
        <v>25613836.399999999</v>
      </c>
      <c r="C78" s="424">
        <v>0</v>
      </c>
      <c r="D78" s="356"/>
      <c r="E78" s="450"/>
      <c r="F78" s="450"/>
      <c r="G78" s="369">
        <f t="shared" si="5"/>
        <v>0</v>
      </c>
      <c r="H78" s="369">
        <f t="shared" si="5"/>
        <v>0</v>
      </c>
      <c r="I78" s="369">
        <v>0</v>
      </c>
      <c r="J78" s="369">
        <v>0</v>
      </c>
    </row>
    <row r="79" spans="1:10" ht="18" hidden="1" customHeight="1" x14ac:dyDescent="0.25">
      <c r="A79" s="365" t="s">
        <v>37</v>
      </c>
      <c r="B79" s="378">
        <v>0</v>
      </c>
      <c r="C79" s="424">
        <v>0</v>
      </c>
      <c r="D79" s="356"/>
      <c r="E79" s="450"/>
      <c r="F79" s="450"/>
      <c r="G79" s="369">
        <f t="shared" si="5"/>
        <v>0</v>
      </c>
      <c r="H79" s="369">
        <f t="shared" si="5"/>
        <v>0</v>
      </c>
      <c r="I79" s="369">
        <v>0</v>
      </c>
      <c r="J79" s="369">
        <v>0</v>
      </c>
    </row>
    <row r="80" spans="1:10" ht="18" hidden="1" customHeight="1" x14ac:dyDescent="0.25">
      <c r="A80" s="379"/>
      <c r="B80" s="605"/>
      <c r="C80" s="433"/>
      <c r="D80" s="356"/>
      <c r="E80" s="450"/>
      <c r="F80" s="450"/>
      <c r="G80" s="369">
        <f t="shared" si="5"/>
        <v>0</v>
      </c>
      <c r="H80" s="369">
        <f t="shared" si="5"/>
        <v>0</v>
      </c>
      <c r="I80" s="369">
        <v>0</v>
      </c>
      <c r="J80" s="369">
        <v>0</v>
      </c>
    </row>
    <row r="81" spans="1:10" ht="18" customHeight="1" x14ac:dyDescent="0.25">
      <c r="A81" s="379"/>
      <c r="B81" s="605"/>
      <c r="C81" s="433"/>
      <c r="D81" s="356"/>
      <c r="E81" s="450"/>
      <c r="F81" s="450"/>
      <c r="G81" s="369">
        <f t="shared" si="5"/>
        <v>0</v>
      </c>
      <c r="H81" s="369">
        <f t="shared" si="5"/>
        <v>0</v>
      </c>
      <c r="I81" s="369">
        <v>0</v>
      </c>
      <c r="J81" s="369">
        <v>0</v>
      </c>
    </row>
    <row r="82" spans="1:10" ht="18" customHeight="1" x14ac:dyDescent="0.25">
      <c r="A82" s="359" t="s">
        <v>167</v>
      </c>
      <c r="B82" s="360">
        <v>41470288</v>
      </c>
      <c r="C82" s="434">
        <v>23000</v>
      </c>
      <c r="D82" s="362">
        <f>+B82+C82</f>
        <v>41493288</v>
      </c>
      <c r="E82" s="451"/>
      <c r="F82" s="451"/>
      <c r="G82" s="364">
        <f>+D82-E82-F82</f>
        <v>41493288</v>
      </c>
      <c r="H82" s="364">
        <v>40581101</v>
      </c>
      <c r="I82" s="364">
        <v>54218868.479999997</v>
      </c>
      <c r="J82" s="364">
        <v>67729175</v>
      </c>
    </row>
    <row r="83" spans="1:10" ht="18" customHeight="1" x14ac:dyDescent="0.25">
      <c r="A83" s="353"/>
      <c r="B83" s="354"/>
      <c r="C83" s="432"/>
      <c r="D83" s="356"/>
      <c r="E83" s="450"/>
      <c r="F83" s="450"/>
      <c r="G83" s="369">
        <f t="shared" si="5"/>
        <v>0</v>
      </c>
      <c r="H83" s="369">
        <f t="shared" si="5"/>
        <v>0</v>
      </c>
      <c r="I83" s="369">
        <v>0</v>
      </c>
      <c r="J83" s="369">
        <v>0</v>
      </c>
    </row>
    <row r="84" spans="1:10" ht="18" customHeight="1" x14ac:dyDescent="0.25">
      <c r="A84" s="359" t="s">
        <v>166</v>
      </c>
      <c r="B84" s="360">
        <v>1882656</v>
      </c>
      <c r="C84" s="434">
        <v>64101</v>
      </c>
      <c r="D84" s="362">
        <f>+B84+C84</f>
        <v>1946757</v>
      </c>
      <c r="E84" s="451"/>
      <c r="F84" s="451"/>
      <c r="G84" s="364">
        <f>+D84-E84-F84</f>
        <v>1946757</v>
      </c>
      <c r="H84" s="364">
        <v>2115483</v>
      </c>
      <c r="I84" s="364">
        <v>1994621.76</v>
      </c>
      <c r="J84" s="364">
        <v>2020782</v>
      </c>
    </row>
    <row r="85" spans="1:10" ht="18" customHeight="1" x14ac:dyDescent="0.25">
      <c r="A85" s="353"/>
      <c r="B85" s="435"/>
      <c r="C85" s="432"/>
      <c r="D85" s="356"/>
      <c r="E85" s="450"/>
      <c r="F85" s="450"/>
      <c r="G85" s="369">
        <f t="shared" si="5"/>
        <v>0</v>
      </c>
      <c r="H85" s="369">
        <f t="shared" si="5"/>
        <v>0</v>
      </c>
      <c r="I85" s="369">
        <v>0</v>
      </c>
      <c r="J85" s="369">
        <v>0</v>
      </c>
    </row>
    <row r="86" spans="1:10" ht="18" customHeight="1" x14ac:dyDescent="0.25">
      <c r="A86" s="359" t="s">
        <v>165</v>
      </c>
      <c r="B86" s="360">
        <f>B87+B88+B89+B90+B91+B92+B93+B94+B95+B96+B97+B98</f>
        <v>56830326.240000002</v>
      </c>
      <c r="C86" s="361">
        <v>458219</v>
      </c>
      <c r="D86" s="362">
        <f>+B86+C86</f>
        <v>57288545.240000002</v>
      </c>
      <c r="E86" s="454">
        <v>1085748.94</v>
      </c>
      <c r="F86" s="454">
        <v>12094.83</v>
      </c>
      <c r="G86" s="364">
        <f>+D86-E86-F86</f>
        <v>56190701.470000006</v>
      </c>
      <c r="H86" s="364">
        <v>52503503</v>
      </c>
      <c r="I86" s="364">
        <v>48412332.990000002</v>
      </c>
      <c r="J86" s="364">
        <v>58974803</v>
      </c>
    </row>
    <row r="87" spans="1:10" ht="18" hidden="1" customHeight="1" x14ac:dyDescent="0.25">
      <c r="A87" s="365" t="s">
        <v>40</v>
      </c>
      <c r="B87" s="378">
        <v>0</v>
      </c>
      <c r="C87" s="426">
        <v>0</v>
      </c>
      <c r="D87" s="356">
        <f t="shared" si="4"/>
        <v>0</v>
      </c>
      <c r="E87" s="450"/>
      <c r="F87" s="450"/>
      <c r="G87" s="387">
        <f t="shared" ref="G87:H117" si="6">+C87+D87-E87</f>
        <v>0</v>
      </c>
      <c r="H87" s="387">
        <f t="shared" si="6"/>
        <v>0</v>
      </c>
      <c r="I87" s="387">
        <v>2659850.52</v>
      </c>
      <c r="J87" s="387">
        <v>263551</v>
      </c>
    </row>
    <row r="88" spans="1:10" ht="18" hidden="1" customHeight="1" x14ac:dyDescent="0.25">
      <c r="A88" s="365" t="s">
        <v>41</v>
      </c>
      <c r="B88" s="378">
        <v>1806.8</v>
      </c>
      <c r="C88" s="426">
        <v>0</v>
      </c>
      <c r="D88" s="356">
        <f t="shared" si="4"/>
        <v>1806.8</v>
      </c>
      <c r="E88" s="450"/>
      <c r="F88" s="450"/>
      <c r="G88" s="387">
        <f t="shared" si="6"/>
        <v>1806.8</v>
      </c>
      <c r="H88" s="387">
        <f t="shared" si="6"/>
        <v>1806.8</v>
      </c>
      <c r="I88" s="387">
        <v>194652.82</v>
      </c>
      <c r="J88" s="387">
        <v>7584</v>
      </c>
    </row>
    <row r="89" spans="1:10" ht="18" hidden="1" customHeight="1" x14ac:dyDescent="0.25">
      <c r="A89" s="365" t="s">
        <v>42</v>
      </c>
      <c r="B89" s="378">
        <v>2530759.09</v>
      </c>
      <c r="C89" s="426">
        <v>0</v>
      </c>
      <c r="D89" s="356">
        <f t="shared" si="4"/>
        <v>2530759.09</v>
      </c>
      <c r="E89" s="450"/>
      <c r="F89" s="450"/>
      <c r="G89" s="387">
        <f t="shared" si="6"/>
        <v>2530759.09</v>
      </c>
      <c r="H89" s="387">
        <f t="shared" si="6"/>
        <v>2530759.09</v>
      </c>
      <c r="I89" s="387">
        <v>2298008.4900000002</v>
      </c>
      <c r="J89" s="387">
        <v>2663972</v>
      </c>
    </row>
    <row r="90" spans="1:10" ht="18" hidden="1" customHeight="1" x14ac:dyDescent="0.25">
      <c r="A90" s="365" t="s">
        <v>43</v>
      </c>
      <c r="B90" s="378">
        <v>505664.5</v>
      </c>
      <c r="C90" s="426">
        <v>0</v>
      </c>
      <c r="D90" s="356">
        <f t="shared" si="4"/>
        <v>505664.5</v>
      </c>
      <c r="E90" s="450"/>
      <c r="F90" s="450"/>
      <c r="G90" s="387">
        <f t="shared" si="6"/>
        <v>505664.5</v>
      </c>
      <c r="H90" s="387">
        <f t="shared" si="6"/>
        <v>505664.5</v>
      </c>
      <c r="I90" s="387">
        <v>829864</v>
      </c>
      <c r="J90" s="387">
        <v>3990</v>
      </c>
    </row>
    <row r="91" spans="1:10" ht="18" hidden="1" customHeight="1" x14ac:dyDescent="0.25">
      <c r="A91" s="365" t="s">
        <v>64</v>
      </c>
      <c r="B91" s="378">
        <v>0</v>
      </c>
      <c r="C91" s="426">
        <v>0</v>
      </c>
      <c r="D91" s="356">
        <f t="shared" si="4"/>
        <v>0</v>
      </c>
      <c r="E91" s="450"/>
      <c r="F91" s="450"/>
      <c r="G91" s="387">
        <f t="shared" si="6"/>
        <v>0</v>
      </c>
      <c r="H91" s="387">
        <f t="shared" si="6"/>
        <v>0</v>
      </c>
      <c r="I91" s="387">
        <v>0</v>
      </c>
      <c r="J91" s="387">
        <v>0</v>
      </c>
    </row>
    <row r="92" spans="1:10" ht="18" hidden="1" customHeight="1" x14ac:dyDescent="0.25">
      <c r="A92" s="365" t="s">
        <v>44</v>
      </c>
      <c r="B92" s="378">
        <v>53336.36</v>
      </c>
      <c r="C92" s="426">
        <v>0</v>
      </c>
      <c r="D92" s="356">
        <f t="shared" si="4"/>
        <v>53336.36</v>
      </c>
      <c r="E92" s="450"/>
      <c r="F92" s="450"/>
      <c r="G92" s="387">
        <f t="shared" si="6"/>
        <v>53336.36</v>
      </c>
      <c r="H92" s="387">
        <f t="shared" si="6"/>
        <v>53336.36</v>
      </c>
      <c r="I92" s="387">
        <v>196110.56</v>
      </c>
      <c r="J92" s="387">
        <v>75060</v>
      </c>
    </row>
    <row r="93" spans="1:10" ht="18" hidden="1" customHeight="1" x14ac:dyDescent="0.25">
      <c r="A93" s="365" t="s">
        <v>45</v>
      </c>
      <c r="B93" s="378">
        <v>1301.0999999999999</v>
      </c>
      <c r="C93" s="426">
        <v>0</v>
      </c>
      <c r="D93" s="356">
        <f t="shared" si="4"/>
        <v>1301.0999999999999</v>
      </c>
      <c r="E93" s="450"/>
      <c r="F93" s="450"/>
      <c r="G93" s="387">
        <f t="shared" si="6"/>
        <v>1301.0999999999999</v>
      </c>
      <c r="H93" s="387">
        <f t="shared" si="6"/>
        <v>1301.0999999999999</v>
      </c>
      <c r="I93" s="387">
        <v>1361.83</v>
      </c>
      <c r="J93" s="387">
        <v>3589</v>
      </c>
    </row>
    <row r="94" spans="1:10" ht="18" hidden="1" customHeight="1" x14ac:dyDescent="0.25">
      <c r="A94" s="365" t="s">
        <v>46</v>
      </c>
      <c r="B94" s="378">
        <v>0</v>
      </c>
      <c r="C94" s="426">
        <v>0</v>
      </c>
      <c r="D94" s="356">
        <f t="shared" si="4"/>
        <v>0</v>
      </c>
      <c r="E94" s="450"/>
      <c r="F94" s="450"/>
      <c r="G94" s="387">
        <f t="shared" si="6"/>
        <v>0</v>
      </c>
      <c r="H94" s="387">
        <f t="shared" si="6"/>
        <v>0</v>
      </c>
      <c r="I94" s="387">
        <v>0</v>
      </c>
      <c r="J94" s="387">
        <v>0</v>
      </c>
    </row>
    <row r="95" spans="1:10" ht="18" hidden="1" customHeight="1" x14ac:dyDescent="0.25">
      <c r="A95" s="365" t="s">
        <v>47</v>
      </c>
      <c r="B95" s="378">
        <v>15604577.01</v>
      </c>
      <c r="C95" s="426">
        <v>0</v>
      </c>
      <c r="D95" s="356">
        <f t="shared" si="4"/>
        <v>15604577.01</v>
      </c>
      <c r="E95" s="450"/>
      <c r="F95" s="450"/>
      <c r="G95" s="387">
        <f t="shared" si="6"/>
        <v>15604577.01</v>
      </c>
      <c r="H95" s="387">
        <f t="shared" si="6"/>
        <v>15604577.01</v>
      </c>
      <c r="I95" s="387">
        <v>11162277.76</v>
      </c>
      <c r="J95" s="387">
        <v>18347101</v>
      </c>
    </row>
    <row r="96" spans="1:10" ht="18" hidden="1" customHeight="1" x14ac:dyDescent="0.25">
      <c r="A96" s="365" t="s">
        <v>48</v>
      </c>
      <c r="B96" s="378">
        <v>242917.62</v>
      </c>
      <c r="C96" s="426">
        <v>0</v>
      </c>
      <c r="D96" s="356">
        <f t="shared" si="4"/>
        <v>242917.62</v>
      </c>
      <c r="E96" s="450"/>
      <c r="F96" s="450"/>
      <c r="G96" s="387">
        <f t="shared" si="6"/>
        <v>242917.62</v>
      </c>
      <c r="H96" s="387">
        <f t="shared" si="6"/>
        <v>242917.62</v>
      </c>
      <c r="I96" s="387">
        <v>41621.760000000002</v>
      </c>
      <c r="J96" s="387">
        <v>254860</v>
      </c>
    </row>
    <row r="97" spans="1:10" ht="18" hidden="1" customHeight="1" x14ac:dyDescent="0.25">
      <c r="A97" s="365" t="s">
        <v>49</v>
      </c>
      <c r="B97" s="378">
        <v>3907.38</v>
      </c>
      <c r="C97" s="426">
        <v>0</v>
      </c>
      <c r="D97" s="356">
        <f t="shared" si="4"/>
        <v>3907.38</v>
      </c>
      <c r="E97" s="450"/>
      <c r="F97" s="450"/>
      <c r="G97" s="387">
        <f t="shared" si="6"/>
        <v>3907.38</v>
      </c>
      <c r="H97" s="387">
        <f t="shared" si="6"/>
        <v>3907.38</v>
      </c>
      <c r="I97" s="387">
        <v>0</v>
      </c>
      <c r="J97" s="387">
        <v>0</v>
      </c>
    </row>
    <row r="98" spans="1:10" ht="18" hidden="1" customHeight="1" x14ac:dyDescent="0.25">
      <c r="A98" s="365" t="s">
        <v>50</v>
      </c>
      <c r="B98" s="378">
        <v>37886056.380000003</v>
      </c>
      <c r="C98" s="426">
        <v>0</v>
      </c>
      <c r="D98" s="356">
        <f t="shared" si="4"/>
        <v>37886056.380000003</v>
      </c>
      <c r="E98" s="450"/>
      <c r="F98" s="450"/>
      <c r="G98" s="387">
        <f t="shared" si="6"/>
        <v>37886056.380000003</v>
      </c>
      <c r="H98" s="387">
        <f t="shared" si="6"/>
        <v>37886056.380000003</v>
      </c>
      <c r="I98" s="387">
        <v>31165994.25</v>
      </c>
      <c r="J98" s="387">
        <v>37324067</v>
      </c>
    </row>
    <row r="99" spans="1:10" ht="18" hidden="1" customHeight="1" x14ac:dyDescent="0.25">
      <c r="A99" s="606"/>
      <c r="B99" s="607"/>
      <c r="C99" s="436"/>
      <c r="D99" s="356">
        <f t="shared" si="4"/>
        <v>0</v>
      </c>
      <c r="E99" s="450"/>
      <c r="F99" s="450"/>
      <c r="G99" s="387">
        <f t="shared" si="6"/>
        <v>0</v>
      </c>
      <c r="H99" s="387">
        <f t="shared" si="6"/>
        <v>0</v>
      </c>
      <c r="I99" s="387">
        <v>0</v>
      </c>
      <c r="J99" s="387">
        <v>0</v>
      </c>
    </row>
    <row r="100" spans="1:10" ht="18" customHeight="1" x14ac:dyDescent="0.25">
      <c r="A100" s="606"/>
      <c r="B100" s="607"/>
      <c r="C100" s="437"/>
      <c r="D100" s="356">
        <f t="shared" si="4"/>
        <v>0</v>
      </c>
      <c r="E100" s="450"/>
      <c r="F100" s="450"/>
      <c r="G100" s="387">
        <f t="shared" si="6"/>
        <v>0</v>
      </c>
      <c r="H100" s="387">
        <f t="shared" si="6"/>
        <v>0</v>
      </c>
      <c r="I100" s="387">
        <v>0</v>
      </c>
      <c r="J100" s="387">
        <v>0</v>
      </c>
    </row>
    <row r="101" spans="1:10" ht="18" customHeight="1" x14ac:dyDescent="0.25">
      <c r="A101" s="359" t="s">
        <v>164</v>
      </c>
      <c r="B101" s="360">
        <f>B103+B104</f>
        <v>235854454.85999998</v>
      </c>
      <c r="C101" s="361">
        <v>45226</v>
      </c>
      <c r="D101" s="362">
        <f>+B101+C101</f>
        <v>235899680.85999998</v>
      </c>
      <c r="E101" s="451"/>
      <c r="F101" s="451"/>
      <c r="G101" s="364">
        <f>+D101-E101-F101</f>
        <v>235899680.85999998</v>
      </c>
      <c r="H101" s="364">
        <v>227847020</v>
      </c>
      <c r="I101" s="364">
        <v>198861093.28</v>
      </c>
      <c r="J101" s="364">
        <v>230639782</v>
      </c>
    </row>
    <row r="102" spans="1:10" ht="18" hidden="1" customHeight="1" x14ac:dyDescent="0.25">
      <c r="A102" s="353"/>
      <c r="B102" s="354"/>
      <c r="C102" s="432"/>
      <c r="D102" s="356"/>
      <c r="E102" s="368"/>
      <c r="F102" s="368"/>
      <c r="G102" s="369">
        <f t="shared" si="6"/>
        <v>0</v>
      </c>
      <c r="H102" s="369">
        <f t="shared" si="6"/>
        <v>0</v>
      </c>
      <c r="I102" s="369">
        <v>0</v>
      </c>
      <c r="J102" s="369">
        <v>0</v>
      </c>
    </row>
    <row r="103" spans="1:10" ht="18" hidden="1" customHeight="1" x14ac:dyDescent="0.25">
      <c r="A103" s="365" t="s">
        <v>69</v>
      </c>
      <c r="B103" s="378">
        <v>45498983.409999996</v>
      </c>
      <c r="C103" s="426">
        <v>0</v>
      </c>
      <c r="D103" s="356">
        <f t="shared" si="4"/>
        <v>45498983.409999996</v>
      </c>
      <c r="E103" s="368"/>
      <c r="F103" s="368"/>
      <c r="G103" s="369">
        <f t="shared" si="6"/>
        <v>45498983.409999996</v>
      </c>
      <c r="H103" s="369">
        <f t="shared" si="6"/>
        <v>45498983.409999996</v>
      </c>
      <c r="I103" s="369">
        <v>17162383.489999998</v>
      </c>
      <c r="J103" s="369">
        <v>39026853</v>
      </c>
    </row>
    <row r="104" spans="1:10" ht="18" hidden="1" customHeight="1" x14ac:dyDescent="0.25">
      <c r="A104" s="365" t="s">
        <v>70</v>
      </c>
      <c r="B104" s="378">
        <v>190355471.44999999</v>
      </c>
      <c r="C104" s="426">
        <v>0</v>
      </c>
      <c r="D104" s="356">
        <f t="shared" si="4"/>
        <v>190355471.44999999</v>
      </c>
      <c r="E104" s="368"/>
      <c r="F104" s="368"/>
      <c r="G104" s="369">
        <f t="shared" si="6"/>
        <v>190355471.44999999</v>
      </c>
      <c r="H104" s="369">
        <f t="shared" si="6"/>
        <v>190355471.44999999</v>
      </c>
      <c r="I104" s="369">
        <v>181527569.78999999</v>
      </c>
      <c r="J104" s="369">
        <v>191440368</v>
      </c>
    </row>
    <row r="105" spans="1:10" ht="18.75" hidden="1" customHeight="1" x14ac:dyDescent="0.25">
      <c r="A105" s="365"/>
      <c r="B105" s="366"/>
      <c r="C105" s="424"/>
      <c r="D105" s="356">
        <f t="shared" si="4"/>
        <v>0</v>
      </c>
      <c r="E105" s="368"/>
      <c r="F105" s="368"/>
      <c r="G105" s="369">
        <f t="shared" si="6"/>
        <v>0</v>
      </c>
      <c r="H105" s="369">
        <f t="shared" si="6"/>
        <v>0</v>
      </c>
      <c r="I105" s="369">
        <v>0</v>
      </c>
      <c r="J105" s="369">
        <v>0</v>
      </c>
    </row>
    <row r="106" spans="1:10" ht="18.75" customHeight="1" x14ac:dyDescent="0.25">
      <c r="A106" s="392"/>
      <c r="B106" s="366"/>
      <c r="C106" s="424"/>
      <c r="D106" s="356">
        <f t="shared" si="4"/>
        <v>0</v>
      </c>
      <c r="E106" s="368"/>
      <c r="F106" s="368"/>
      <c r="G106" s="369">
        <f t="shared" si="6"/>
        <v>0</v>
      </c>
      <c r="H106" s="369">
        <f t="shared" si="6"/>
        <v>0</v>
      </c>
      <c r="I106" s="369">
        <v>0</v>
      </c>
      <c r="J106" s="369">
        <v>0</v>
      </c>
    </row>
    <row r="107" spans="1:10" ht="18.75" customHeight="1" x14ac:dyDescent="0.25">
      <c r="A107" s="359" t="s">
        <v>67</v>
      </c>
      <c r="B107" s="360">
        <f>B109</f>
        <v>135559422.58000001</v>
      </c>
      <c r="C107" s="361">
        <v>0</v>
      </c>
      <c r="D107" s="362">
        <f>+B107+C107</f>
        <v>135559422.58000001</v>
      </c>
      <c r="E107" s="363"/>
      <c r="F107" s="363"/>
      <c r="G107" s="364">
        <f>+D107-E107-F107</f>
        <v>135559422.58000001</v>
      </c>
      <c r="H107" s="364">
        <v>148185665</v>
      </c>
      <c r="I107" s="364">
        <v>91464107.719999999</v>
      </c>
      <c r="J107" s="364">
        <v>139894529</v>
      </c>
    </row>
    <row r="108" spans="1:10" ht="18.75" customHeight="1" x14ac:dyDescent="0.25">
      <c r="A108" s="365"/>
      <c r="B108" s="376"/>
      <c r="C108" s="383"/>
      <c r="D108" s="356"/>
      <c r="E108" s="368"/>
      <c r="F108" s="368"/>
      <c r="G108" s="369">
        <f t="shared" si="6"/>
        <v>0</v>
      </c>
      <c r="H108" s="369">
        <f t="shared" si="6"/>
        <v>0</v>
      </c>
      <c r="I108" s="369">
        <v>0</v>
      </c>
      <c r="J108" s="369">
        <v>0</v>
      </c>
    </row>
    <row r="109" spans="1:10" ht="18.75" hidden="1" customHeight="1" x14ac:dyDescent="0.25">
      <c r="A109" s="365" t="s">
        <v>68</v>
      </c>
      <c r="B109" s="378">
        <v>135559422.58000001</v>
      </c>
      <c r="C109" s="377">
        <v>0</v>
      </c>
      <c r="D109" s="356">
        <f t="shared" si="4"/>
        <v>135559422.58000001</v>
      </c>
      <c r="E109" s="368"/>
      <c r="F109" s="368"/>
      <c r="G109" s="369">
        <f t="shared" si="6"/>
        <v>135559422.58000001</v>
      </c>
      <c r="H109" s="369">
        <f t="shared" si="6"/>
        <v>135559422.58000001</v>
      </c>
      <c r="I109" s="369">
        <v>91464107.719999999</v>
      </c>
      <c r="J109" s="369">
        <v>139894529</v>
      </c>
    </row>
    <row r="110" spans="1:10" ht="6" hidden="1" customHeight="1" x14ac:dyDescent="0.25">
      <c r="A110" s="392"/>
      <c r="B110" s="366"/>
      <c r="C110" s="383"/>
      <c r="D110" s="356">
        <f t="shared" si="4"/>
        <v>0</v>
      </c>
      <c r="E110" s="368"/>
      <c r="F110" s="368"/>
      <c r="G110" s="369">
        <f t="shared" si="6"/>
        <v>0</v>
      </c>
      <c r="H110" s="369">
        <f t="shared" si="6"/>
        <v>0</v>
      </c>
      <c r="I110" s="369">
        <v>0</v>
      </c>
      <c r="J110" s="369">
        <v>0</v>
      </c>
    </row>
    <row r="111" spans="1:10" ht="6" hidden="1" customHeight="1" x14ac:dyDescent="0.25">
      <c r="A111" s="365"/>
      <c r="B111" s="366"/>
      <c r="C111" s="383"/>
      <c r="D111" s="356">
        <f t="shared" si="4"/>
        <v>0</v>
      </c>
      <c r="E111" s="368"/>
      <c r="F111" s="368"/>
      <c r="G111" s="369">
        <f t="shared" si="6"/>
        <v>0</v>
      </c>
      <c r="H111" s="369">
        <f t="shared" si="6"/>
        <v>0</v>
      </c>
      <c r="I111" s="369">
        <v>0</v>
      </c>
      <c r="J111" s="369">
        <v>0</v>
      </c>
    </row>
    <row r="112" spans="1:10" ht="6" hidden="1" customHeight="1" x14ac:dyDescent="0.25">
      <c r="A112" s="365"/>
      <c r="B112" s="366"/>
      <c r="C112" s="383"/>
      <c r="D112" s="356">
        <f t="shared" si="4"/>
        <v>0</v>
      </c>
      <c r="E112" s="368"/>
      <c r="F112" s="368"/>
      <c r="G112" s="369">
        <f t="shared" si="6"/>
        <v>0</v>
      </c>
      <c r="H112" s="369">
        <f t="shared" si="6"/>
        <v>0</v>
      </c>
      <c r="I112" s="369">
        <v>0</v>
      </c>
      <c r="J112" s="369">
        <v>0</v>
      </c>
    </row>
    <row r="113" spans="1:12" ht="6" hidden="1" customHeight="1" x14ac:dyDescent="0.25">
      <c r="A113" s="365"/>
      <c r="B113" s="366"/>
      <c r="C113" s="383"/>
      <c r="D113" s="356">
        <f t="shared" si="4"/>
        <v>0</v>
      </c>
      <c r="E113" s="368"/>
      <c r="F113" s="368"/>
      <c r="G113" s="369">
        <f t="shared" si="6"/>
        <v>0</v>
      </c>
      <c r="H113" s="369">
        <f t="shared" si="6"/>
        <v>0</v>
      </c>
      <c r="I113" s="369">
        <v>0</v>
      </c>
      <c r="J113" s="369">
        <v>0</v>
      </c>
    </row>
    <row r="114" spans="1:12" ht="6" hidden="1" customHeight="1" x14ac:dyDescent="0.25">
      <c r="A114" s="392"/>
      <c r="B114" s="366"/>
      <c r="C114" s="383"/>
      <c r="D114" s="356">
        <f t="shared" si="4"/>
        <v>0</v>
      </c>
      <c r="E114" s="368"/>
      <c r="F114" s="368"/>
      <c r="G114" s="369">
        <f t="shared" si="6"/>
        <v>0</v>
      </c>
      <c r="H114" s="369">
        <f t="shared" si="6"/>
        <v>0</v>
      </c>
      <c r="I114" s="369">
        <v>0</v>
      </c>
      <c r="J114" s="369">
        <v>0</v>
      </c>
    </row>
    <row r="115" spans="1:12" ht="6" hidden="1" customHeight="1" x14ac:dyDescent="0.25">
      <c r="A115" s="365"/>
      <c r="B115" s="366"/>
      <c r="C115" s="383"/>
      <c r="D115" s="356">
        <f t="shared" si="4"/>
        <v>0</v>
      </c>
      <c r="E115" s="368"/>
      <c r="F115" s="368"/>
      <c r="G115" s="369">
        <f t="shared" si="6"/>
        <v>0</v>
      </c>
      <c r="H115" s="369">
        <f t="shared" si="6"/>
        <v>0</v>
      </c>
      <c r="I115" s="369">
        <v>0</v>
      </c>
      <c r="J115" s="369">
        <v>0</v>
      </c>
    </row>
    <row r="116" spans="1:12" ht="6" hidden="1" customHeight="1" x14ac:dyDescent="0.25">
      <c r="A116" s="365"/>
      <c r="B116" s="366"/>
      <c r="C116" s="383"/>
      <c r="D116" s="356">
        <f t="shared" si="4"/>
        <v>0</v>
      </c>
      <c r="E116" s="368"/>
      <c r="F116" s="368"/>
      <c r="G116" s="369">
        <f t="shared" si="6"/>
        <v>0</v>
      </c>
      <c r="H116" s="369">
        <f t="shared" si="6"/>
        <v>0</v>
      </c>
      <c r="I116" s="369">
        <v>0</v>
      </c>
      <c r="J116" s="369">
        <v>0</v>
      </c>
    </row>
    <row r="117" spans="1:12" ht="6" customHeight="1" thickBot="1" x14ac:dyDescent="0.3">
      <c r="A117" s="365"/>
      <c r="B117" s="366"/>
      <c r="C117" s="383"/>
      <c r="D117" s="356">
        <f t="shared" si="4"/>
        <v>0</v>
      </c>
      <c r="E117" s="368"/>
      <c r="F117" s="368"/>
      <c r="G117" s="369">
        <f t="shared" si="6"/>
        <v>0</v>
      </c>
      <c r="H117" s="369">
        <f t="shared" si="6"/>
        <v>0</v>
      </c>
      <c r="I117" s="369">
        <v>0</v>
      </c>
      <c r="J117" s="369">
        <v>0</v>
      </c>
    </row>
    <row r="118" spans="1:12" ht="18.75" customHeight="1" thickBot="1" x14ac:dyDescent="0.3">
      <c r="A118" s="346" t="s">
        <v>56</v>
      </c>
      <c r="B118" s="404">
        <f>B64+B82+B84+B86+B101+B107</f>
        <v>1110486472.2900002</v>
      </c>
      <c r="C118" s="405">
        <f>C64+C82+C84+C86+C101+C107</f>
        <v>2018072</v>
      </c>
      <c r="D118" s="406">
        <f>+B118+C118</f>
        <v>1112504544.2900002</v>
      </c>
      <c r="E118" s="407">
        <f>SUM(E64:E108)</f>
        <v>1085748.94</v>
      </c>
      <c r="F118" s="407">
        <f>+F64+F82+F86</f>
        <v>72094.83</v>
      </c>
      <c r="G118" s="438">
        <f>+D118-E118-F118</f>
        <v>1111346700.5200002</v>
      </c>
      <c r="H118" s="438">
        <v>1087712886</v>
      </c>
      <c r="I118" s="438">
        <v>927701911.22000003</v>
      </c>
      <c r="J118" s="438">
        <v>1051103163.12</v>
      </c>
      <c r="K118" s="415"/>
      <c r="L118" s="415"/>
    </row>
    <row r="119" spans="1:12" ht="19" thickBot="1" x14ac:dyDescent="0.3">
      <c r="A119" s="439" t="s">
        <v>57</v>
      </c>
      <c r="B119" s="440">
        <f>B59</f>
        <v>282728267</v>
      </c>
      <c r="C119" s="441">
        <v>0</v>
      </c>
      <c r="D119" s="442">
        <f t="shared" si="4"/>
        <v>282728267</v>
      </c>
      <c r="E119" s="443"/>
      <c r="F119" s="443"/>
      <c r="G119" s="444">
        <f>+D119-E119-F119</f>
        <v>282728267</v>
      </c>
      <c r="H119" s="444">
        <v>279834923</v>
      </c>
      <c r="I119" s="444">
        <v>279701992.16000003</v>
      </c>
      <c r="J119" s="444">
        <v>279821860</v>
      </c>
    </row>
    <row r="121" spans="1:12" x14ac:dyDescent="0.25">
      <c r="G121" s="446"/>
      <c r="H121" s="446"/>
      <c r="I121" s="446"/>
    </row>
    <row r="122" spans="1:12" x14ac:dyDescent="0.25">
      <c r="G122" s="446"/>
      <c r="H122" s="446"/>
      <c r="I122" s="446"/>
    </row>
    <row r="123" spans="1:12" x14ac:dyDescent="0.25">
      <c r="G123" s="446"/>
      <c r="H123" s="446"/>
      <c r="I123" s="446"/>
    </row>
    <row r="124" spans="1:12" x14ac:dyDescent="0.25">
      <c r="G124" s="446"/>
      <c r="H124" s="446"/>
      <c r="I124" s="446"/>
    </row>
  </sheetData>
  <mergeCells count="4">
    <mergeCell ref="A1:J1"/>
    <mergeCell ref="B80:B81"/>
    <mergeCell ref="A99:A100"/>
    <mergeCell ref="B99:B100"/>
  </mergeCells>
  <pageMargins left="0.7" right="0.7" top="0.75" bottom="0.75" header="0.3" footer="0.3"/>
  <pageSetup paperSize="8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5675-C4D3-4CB7-9D5E-72FC8BFAB8AC}">
  <sheetPr>
    <tabColor rgb="FF00B050"/>
  </sheetPr>
  <dimension ref="A1:L71"/>
  <sheetViews>
    <sheetView showGridLines="0" topLeftCell="A37" zoomScale="73" zoomScaleNormal="73" workbookViewId="0">
      <selection sqref="A1:J66"/>
    </sheetView>
  </sheetViews>
  <sheetFormatPr defaultColWidth="9.1796875" defaultRowHeight="18.5" x14ac:dyDescent="0.25"/>
  <cols>
    <col min="1" max="1" width="61.26953125" style="352" customWidth="1"/>
    <col min="2" max="2" width="18.54296875" style="445" customWidth="1"/>
    <col min="3" max="3" width="18.26953125" style="352" customWidth="1"/>
    <col min="4" max="4" width="21" style="419" customWidth="1"/>
    <col min="5" max="6" width="19.1796875" style="445" customWidth="1"/>
    <col min="7" max="8" width="20.54296875" style="447" customWidth="1"/>
    <col min="9" max="9" width="20.54296875" style="447" hidden="1" customWidth="1"/>
    <col min="10" max="10" width="20.54296875" style="352" hidden="1" customWidth="1"/>
    <col min="11" max="11" width="15.81640625" style="352" bestFit="1" customWidth="1"/>
    <col min="12" max="12" width="13.26953125" style="352" customWidth="1"/>
    <col min="13" max="13" width="16" style="352" bestFit="1" customWidth="1"/>
    <col min="14" max="14" width="9.1796875" style="352"/>
    <col min="15" max="15" width="9.1796875" style="352" customWidth="1"/>
    <col min="16" max="16384" width="9.1796875" style="352"/>
  </cols>
  <sheetData>
    <row r="1" spans="1:10" s="345" customFormat="1" ht="33.75" customHeight="1" thickBot="1" x14ac:dyDescent="0.3">
      <c r="A1" s="608" t="s">
        <v>140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0" ht="37.5" thickBot="1" x14ac:dyDescent="0.3">
      <c r="A2" s="346" t="s">
        <v>58</v>
      </c>
      <c r="B2" s="347" t="s">
        <v>71</v>
      </c>
      <c r="C2" s="348" t="s">
        <v>72</v>
      </c>
      <c r="D2" s="349" t="s">
        <v>73</v>
      </c>
      <c r="E2" s="350" t="s">
        <v>157</v>
      </c>
      <c r="F2" s="350" t="s">
        <v>158</v>
      </c>
      <c r="G2" s="351" t="s">
        <v>201</v>
      </c>
      <c r="H2" s="351" t="s">
        <v>187</v>
      </c>
      <c r="I2" s="351" t="s">
        <v>154</v>
      </c>
      <c r="J2" s="351" t="s">
        <v>161</v>
      </c>
    </row>
    <row r="3" spans="1:10" ht="18" customHeight="1" x14ac:dyDescent="0.25">
      <c r="A3" s="353"/>
      <c r="B3" s="354"/>
      <c r="C3" s="355"/>
      <c r="D3" s="356"/>
      <c r="E3" s="357"/>
      <c r="F3" s="357"/>
      <c r="G3" s="358"/>
      <c r="H3" s="358"/>
      <c r="I3" s="358"/>
    </row>
    <row r="4" spans="1:10" ht="18" customHeight="1" x14ac:dyDescent="0.25">
      <c r="A4" s="359" t="s">
        <v>170</v>
      </c>
      <c r="B4" s="360">
        <f>B6+B8+B10</f>
        <v>402918037.56999999</v>
      </c>
      <c r="C4" s="361">
        <f>C6+C8+C10</f>
        <v>167500</v>
      </c>
      <c r="D4" s="362">
        <f>+B4+C4</f>
        <v>403085537.56999999</v>
      </c>
      <c r="E4" s="363"/>
      <c r="F4" s="363"/>
      <c r="G4" s="364">
        <f>G6+G8+G10</f>
        <v>403025537.56999999</v>
      </c>
      <c r="H4" s="364">
        <f>H6+H8+H10</f>
        <v>360221985.77000004</v>
      </c>
      <c r="I4" s="364">
        <v>308138978.63</v>
      </c>
      <c r="J4" s="364">
        <v>313116189</v>
      </c>
    </row>
    <row r="5" spans="1:10" ht="18" customHeight="1" x14ac:dyDescent="0.25">
      <c r="A5" s="365"/>
      <c r="B5" s="366"/>
      <c r="C5" s="367"/>
      <c r="D5" s="356"/>
      <c r="E5" s="368"/>
      <c r="F5" s="368"/>
      <c r="G5" s="369"/>
      <c r="H5" s="369"/>
      <c r="I5" s="369">
        <v>0</v>
      </c>
      <c r="J5" s="369">
        <v>0</v>
      </c>
    </row>
    <row r="6" spans="1:10" ht="18" customHeight="1" x14ac:dyDescent="0.25">
      <c r="A6" s="370" t="s">
        <v>1</v>
      </c>
      <c r="B6" s="371">
        <v>43094104.810000002</v>
      </c>
      <c r="C6" s="372">
        <v>24721</v>
      </c>
      <c r="D6" s="373">
        <f>+B6+C6</f>
        <v>43118825.810000002</v>
      </c>
      <c r="E6" s="374"/>
      <c r="F6" s="374"/>
      <c r="G6" s="375">
        <f>+D6-E6-F6</f>
        <v>43118825.810000002</v>
      </c>
      <c r="H6" s="375">
        <v>33482758.289999999</v>
      </c>
      <c r="I6" s="375">
        <v>1292863.48</v>
      </c>
      <c r="J6" s="375">
        <v>6323386</v>
      </c>
    </row>
    <row r="7" spans="1:10" ht="18" customHeight="1" x14ac:dyDescent="0.25">
      <c r="A7" s="365"/>
      <c r="B7" s="376"/>
      <c r="C7" s="367"/>
      <c r="D7" s="356"/>
      <c r="E7" s="368"/>
      <c r="F7" s="368"/>
      <c r="G7" s="369"/>
      <c r="H7" s="369"/>
      <c r="I7" s="369">
        <v>0</v>
      </c>
      <c r="J7" s="369">
        <v>0</v>
      </c>
    </row>
    <row r="8" spans="1:10" ht="18" customHeight="1" x14ac:dyDescent="0.25">
      <c r="A8" s="370" t="s">
        <v>7</v>
      </c>
      <c r="B8" s="371">
        <v>359338068.36000001</v>
      </c>
      <c r="C8" s="372">
        <v>42330</v>
      </c>
      <c r="D8" s="373">
        <f t="shared" ref="D8:D30" si="0">+B8+C8</f>
        <v>359380398.36000001</v>
      </c>
      <c r="E8" s="374"/>
      <c r="F8" s="374"/>
      <c r="G8" s="375">
        <f>+D8-E8-F8</f>
        <v>359380398.36000001</v>
      </c>
      <c r="H8" s="375">
        <v>325989153.94</v>
      </c>
      <c r="I8" s="375">
        <v>306294692</v>
      </c>
      <c r="J8" s="375">
        <v>306269620</v>
      </c>
    </row>
    <row r="9" spans="1:10" ht="18" customHeight="1" x14ac:dyDescent="0.25">
      <c r="A9" s="365"/>
      <c r="B9" s="376"/>
      <c r="C9" s="367"/>
      <c r="D9" s="356"/>
      <c r="E9" s="368"/>
      <c r="F9" s="368"/>
      <c r="G9" s="369"/>
      <c r="H9" s="369"/>
      <c r="I9" s="369">
        <v>0</v>
      </c>
      <c r="J9" s="369">
        <v>0</v>
      </c>
    </row>
    <row r="10" spans="1:10" ht="18" customHeight="1" x14ac:dyDescent="0.25">
      <c r="A10" s="370" t="s">
        <v>15</v>
      </c>
      <c r="B10" s="371">
        <v>485864.4</v>
      </c>
      <c r="C10" s="382">
        <v>100449</v>
      </c>
      <c r="D10" s="373">
        <f t="shared" si="0"/>
        <v>586313.4</v>
      </c>
      <c r="E10" s="448">
        <v>60000</v>
      </c>
      <c r="F10" s="449"/>
      <c r="G10" s="375">
        <f>+D10-E10-F10</f>
        <v>526313.4</v>
      </c>
      <c r="H10" s="375">
        <v>750073.54</v>
      </c>
      <c r="I10" s="375">
        <v>551423.15</v>
      </c>
      <c r="J10" s="375">
        <v>523183</v>
      </c>
    </row>
    <row r="11" spans="1:10" ht="18" customHeight="1" x14ac:dyDescent="0.25">
      <c r="A11" s="365"/>
      <c r="B11" s="366"/>
      <c r="C11" s="383"/>
      <c r="D11" s="356"/>
      <c r="E11" s="450"/>
      <c r="F11" s="450"/>
      <c r="G11" s="369"/>
      <c r="H11" s="369"/>
      <c r="I11" s="369">
        <v>0</v>
      </c>
      <c r="J11" s="369">
        <v>0</v>
      </c>
    </row>
    <row r="12" spans="1:10" ht="18" customHeight="1" x14ac:dyDescent="0.25">
      <c r="A12" s="359" t="s">
        <v>52</v>
      </c>
      <c r="B12" s="360">
        <f>B14+B16+B18+B20</f>
        <v>917192368.11000013</v>
      </c>
      <c r="C12" s="361">
        <f>C14+C16+C18+C20</f>
        <v>1403136</v>
      </c>
      <c r="D12" s="362">
        <f>+B12+C12</f>
        <v>918595504.11000013</v>
      </c>
      <c r="E12" s="451"/>
      <c r="F12" s="451"/>
      <c r="G12" s="364">
        <f>G13+G14+G16+G18+G20</f>
        <v>918066004.11000013</v>
      </c>
      <c r="H12" s="364">
        <f>H13+H14+H16+H18+H20</f>
        <v>945535634.41000009</v>
      </c>
      <c r="I12" s="364">
        <v>608484630.73000002</v>
      </c>
      <c r="J12" s="364">
        <v>723867400</v>
      </c>
    </row>
    <row r="13" spans="1:10" ht="18" customHeight="1" x14ac:dyDescent="0.25">
      <c r="A13" s="385"/>
      <c r="B13" s="380"/>
      <c r="C13" s="386"/>
      <c r="D13" s="356"/>
      <c r="E13" s="450"/>
      <c r="F13" s="450"/>
      <c r="G13" s="387"/>
      <c r="H13" s="387"/>
      <c r="I13" s="387">
        <v>0</v>
      </c>
      <c r="J13" s="387">
        <v>0</v>
      </c>
    </row>
    <row r="14" spans="1:10" ht="18" customHeight="1" x14ac:dyDescent="0.25">
      <c r="A14" s="370" t="s">
        <v>53</v>
      </c>
      <c r="B14" s="559">
        <v>2509374.4900000002</v>
      </c>
      <c r="C14" s="558">
        <v>0</v>
      </c>
      <c r="D14" s="373">
        <f t="shared" si="0"/>
        <v>2509374.4900000002</v>
      </c>
      <c r="E14" s="452"/>
      <c r="F14" s="452"/>
      <c r="G14" s="375">
        <f>+D14-E14-F14</f>
        <v>2509374.4900000002</v>
      </c>
      <c r="H14" s="375">
        <v>4127530.27</v>
      </c>
      <c r="I14" s="375">
        <v>22720.42</v>
      </c>
      <c r="J14" s="375">
        <v>214711</v>
      </c>
    </row>
    <row r="15" spans="1:10" ht="18" customHeight="1" x14ac:dyDescent="0.25">
      <c r="A15" s="365"/>
      <c r="B15" s="366"/>
      <c r="C15" s="383"/>
      <c r="D15" s="356"/>
      <c r="E15" s="450"/>
      <c r="F15" s="450"/>
      <c r="G15" s="369"/>
      <c r="H15" s="369"/>
      <c r="I15" s="369">
        <v>0</v>
      </c>
      <c r="J15" s="369">
        <v>0</v>
      </c>
    </row>
    <row r="16" spans="1:10" ht="18" customHeight="1" x14ac:dyDescent="0.25">
      <c r="A16" s="370" t="s">
        <v>60</v>
      </c>
      <c r="B16" s="371">
        <v>323262046.80000001</v>
      </c>
      <c r="C16" s="372">
        <v>813757</v>
      </c>
      <c r="D16" s="373">
        <f>+B16+C16</f>
        <v>324075803.80000001</v>
      </c>
      <c r="E16" s="448"/>
      <c r="F16" s="448">
        <v>529500</v>
      </c>
      <c r="G16" s="375">
        <f>+D16-E16-F16</f>
        <v>323546303.80000001</v>
      </c>
      <c r="H16" s="375">
        <v>387786062.29000002</v>
      </c>
      <c r="I16" s="375">
        <v>228943227.95999998</v>
      </c>
      <c r="J16" s="375">
        <v>263731406</v>
      </c>
    </row>
    <row r="17" spans="1:11" ht="18" customHeight="1" x14ac:dyDescent="0.25">
      <c r="A17" s="365"/>
      <c r="B17" s="376"/>
      <c r="C17" s="388"/>
      <c r="D17" s="356"/>
      <c r="E17" s="450"/>
      <c r="F17" s="450"/>
      <c r="G17" s="369"/>
      <c r="H17" s="369"/>
      <c r="I17" s="369">
        <v>0</v>
      </c>
      <c r="J17" s="369">
        <v>0</v>
      </c>
    </row>
    <row r="18" spans="1:11" ht="18" customHeight="1" x14ac:dyDescent="0.25">
      <c r="A18" s="370" t="s">
        <v>24</v>
      </c>
      <c r="B18" s="560">
        <v>0</v>
      </c>
      <c r="C18" s="558">
        <v>0</v>
      </c>
      <c r="D18" s="375">
        <v>0</v>
      </c>
      <c r="E18" s="452"/>
      <c r="F18" s="452"/>
      <c r="G18" s="375">
        <f>+D18-E18-F18</f>
        <v>0</v>
      </c>
      <c r="H18" s="375">
        <f>+E18-F18-G18</f>
        <v>0</v>
      </c>
      <c r="I18" s="375">
        <v>0</v>
      </c>
      <c r="J18" s="375">
        <v>0</v>
      </c>
    </row>
    <row r="19" spans="1:11" ht="18" customHeight="1" x14ac:dyDescent="0.25">
      <c r="A19" s="392"/>
      <c r="B19" s="380"/>
      <c r="C19" s="384"/>
      <c r="D19" s="356"/>
      <c r="E19" s="450"/>
      <c r="F19" s="450"/>
      <c r="G19" s="369"/>
      <c r="H19" s="369"/>
      <c r="I19" s="369">
        <v>0</v>
      </c>
      <c r="J19" s="369">
        <v>0</v>
      </c>
    </row>
    <row r="20" spans="1:11" ht="18" customHeight="1" x14ac:dyDescent="0.25">
      <c r="A20" s="370" t="s">
        <v>25</v>
      </c>
      <c r="B20" s="371">
        <v>591420946.82000005</v>
      </c>
      <c r="C20" s="372">
        <v>589379</v>
      </c>
      <c r="D20" s="373">
        <f>+B20+C20</f>
        <v>592010325.82000005</v>
      </c>
      <c r="E20" s="452"/>
      <c r="F20" s="452"/>
      <c r="G20" s="375">
        <f>+D20-E20-F20</f>
        <v>592010325.82000005</v>
      </c>
      <c r="H20" s="375">
        <v>553622041.85000002</v>
      </c>
      <c r="I20" s="375">
        <v>379518682.35000002</v>
      </c>
      <c r="J20" s="375">
        <v>459921283</v>
      </c>
      <c r="K20" s="393"/>
    </row>
    <row r="21" spans="1:11" ht="18" customHeight="1" x14ac:dyDescent="0.25">
      <c r="A21" s="365"/>
      <c r="B21" s="376"/>
      <c r="C21" s="388"/>
      <c r="D21" s="356"/>
      <c r="E21" s="450"/>
      <c r="F21" s="450"/>
      <c r="G21" s="375"/>
      <c r="H21" s="369"/>
      <c r="I21" s="369">
        <v>0</v>
      </c>
      <c r="J21" s="369">
        <v>0</v>
      </c>
    </row>
    <row r="22" spans="1:11" ht="18" customHeight="1" x14ac:dyDescent="0.25">
      <c r="A22" s="359" t="s">
        <v>169</v>
      </c>
      <c r="B22" s="360">
        <f>B24</f>
        <v>24774488.18</v>
      </c>
      <c r="C22" s="360">
        <f>C24</f>
        <v>124337</v>
      </c>
      <c r="D22" s="362">
        <f>+B22+C22</f>
        <v>24898825.18</v>
      </c>
      <c r="E22" s="451"/>
      <c r="F22" s="451"/>
      <c r="G22" s="556">
        <f t="shared" ref="G22" si="1">+D22-E22-F22</f>
        <v>24898825.18</v>
      </c>
      <c r="H22" s="364">
        <f>H24</f>
        <v>21985027.73</v>
      </c>
      <c r="I22" s="364">
        <v>10375127.720000001</v>
      </c>
      <c r="J22" s="364">
        <v>13056560</v>
      </c>
    </row>
    <row r="23" spans="1:11" ht="18" customHeight="1" x14ac:dyDescent="0.25">
      <c r="A23" s="397"/>
      <c r="B23" s="398"/>
      <c r="C23" s="399"/>
      <c r="D23" s="356"/>
      <c r="E23" s="450"/>
      <c r="F23" s="450"/>
      <c r="G23" s="369"/>
      <c r="H23" s="369"/>
      <c r="I23" s="369">
        <v>0</v>
      </c>
      <c r="J23" s="369">
        <v>0</v>
      </c>
    </row>
    <row r="24" spans="1:11" ht="18" customHeight="1" x14ac:dyDescent="0.25">
      <c r="A24" s="365" t="s">
        <v>202</v>
      </c>
      <c r="B24" s="376">
        <v>24774488.18</v>
      </c>
      <c r="C24" s="400">
        <v>124337</v>
      </c>
      <c r="D24" s="356">
        <f t="shared" si="0"/>
        <v>24898825.18</v>
      </c>
      <c r="E24" s="450"/>
      <c r="F24" s="450"/>
      <c r="G24" s="356">
        <f>+D24-E24-F24</f>
        <v>24898825.18</v>
      </c>
      <c r="H24" s="555">
        <v>21985027.73</v>
      </c>
      <c r="I24" s="369">
        <v>10307476.720000001</v>
      </c>
      <c r="J24" s="369">
        <v>12836685</v>
      </c>
    </row>
    <row r="25" spans="1:11" ht="18" customHeight="1" x14ac:dyDescent="0.25">
      <c r="A25" s="365"/>
      <c r="B25" s="366"/>
      <c r="C25" s="377"/>
      <c r="D25" s="356"/>
      <c r="E25" s="450"/>
      <c r="F25" s="450"/>
      <c r="G25" s="369"/>
      <c r="H25" s="369"/>
      <c r="I25" s="369">
        <v>0</v>
      </c>
      <c r="J25" s="369">
        <v>0</v>
      </c>
    </row>
    <row r="26" spans="1:11" ht="18" customHeight="1" x14ac:dyDescent="0.25">
      <c r="A26" s="359" t="s">
        <v>160</v>
      </c>
      <c r="B26" s="360">
        <f>B28</f>
        <v>15728302.449999999</v>
      </c>
      <c r="C26" s="361">
        <f>C28</f>
        <v>0</v>
      </c>
      <c r="D26" s="362">
        <f t="shared" si="0"/>
        <v>15728302.449999999</v>
      </c>
      <c r="E26" s="451"/>
      <c r="F26" s="451"/>
      <c r="G26" s="364">
        <f t="shared" ref="G26" si="2">+C26+D26-E26</f>
        <v>15728302.449999999</v>
      </c>
      <c r="H26" s="364">
        <f>H28</f>
        <v>15114710.609999999</v>
      </c>
      <c r="I26" s="402">
        <v>703174.14</v>
      </c>
      <c r="J26" s="402">
        <v>1063014</v>
      </c>
    </row>
    <row r="27" spans="1:11" ht="18" customHeight="1" x14ac:dyDescent="0.25">
      <c r="A27" s="403"/>
      <c r="B27" s="376"/>
      <c r="C27" s="377"/>
      <c r="D27" s="356"/>
      <c r="E27" s="450"/>
      <c r="F27" s="450"/>
      <c r="G27" s="369"/>
      <c r="H27" s="369"/>
      <c r="I27" s="369">
        <v>0</v>
      </c>
      <c r="J27" s="369">
        <v>0</v>
      </c>
    </row>
    <row r="28" spans="1:11" ht="18" customHeight="1" x14ac:dyDescent="0.25">
      <c r="A28" s="365" t="s">
        <v>66</v>
      </c>
      <c r="B28" s="376">
        <v>15728302.449999999</v>
      </c>
      <c r="C28" s="561">
        <v>0</v>
      </c>
      <c r="D28" s="356">
        <f t="shared" si="0"/>
        <v>15728302.449999999</v>
      </c>
      <c r="E28" s="450"/>
      <c r="F28" s="450"/>
      <c r="G28" s="356">
        <f>+D28-E28-F28</f>
        <v>15728302.449999999</v>
      </c>
      <c r="H28" s="555">
        <v>15114710.609999999</v>
      </c>
      <c r="I28" s="369">
        <v>703174.14</v>
      </c>
      <c r="J28" s="369">
        <v>1063014</v>
      </c>
    </row>
    <row r="29" spans="1:11" ht="18" customHeight="1" thickBot="1" x14ac:dyDescent="0.3">
      <c r="A29" s="379"/>
      <c r="B29" s="380"/>
      <c r="C29" s="381"/>
      <c r="D29" s="356"/>
      <c r="E29" s="450"/>
      <c r="F29" s="450"/>
      <c r="G29" s="369"/>
      <c r="H29" s="369"/>
      <c r="I29" s="369">
        <v>0</v>
      </c>
      <c r="J29" s="369">
        <v>0</v>
      </c>
    </row>
    <row r="30" spans="1:11" ht="18" customHeight="1" thickBot="1" x14ac:dyDescent="0.3">
      <c r="A30" s="346" t="s">
        <v>54</v>
      </c>
      <c r="B30" s="404">
        <f>B4+B12+B22+B26</f>
        <v>1360613196.3100002</v>
      </c>
      <c r="C30" s="405">
        <f>C4+C12+C22+C26</f>
        <v>1694973</v>
      </c>
      <c r="D30" s="406">
        <f t="shared" si="0"/>
        <v>1362308169.3100002</v>
      </c>
      <c r="E30" s="407">
        <f>SUM(E4:E29)</f>
        <v>60000</v>
      </c>
      <c r="F30" s="407">
        <f>SUM(F4:F29)</f>
        <v>529500</v>
      </c>
      <c r="G30" s="408">
        <f>+D30-E30-F30</f>
        <v>1361718669.3100002</v>
      </c>
      <c r="H30" s="408">
        <f>H4+H12+H22+H26</f>
        <v>1342857358.52</v>
      </c>
      <c r="I30" s="408">
        <v>927701911.22000003</v>
      </c>
      <c r="J30" s="408">
        <v>1051103163</v>
      </c>
    </row>
    <row r="31" spans="1:11" x14ac:dyDescent="0.25">
      <c r="A31" s="416"/>
      <c r="B31" s="417"/>
      <c r="C31" s="418"/>
      <c r="E31" s="450"/>
      <c r="F31" s="450"/>
      <c r="G31" s="420"/>
      <c r="H31" s="420"/>
      <c r="I31" s="420"/>
      <c r="J31" s="420"/>
      <c r="K31" s="415"/>
    </row>
    <row r="32" spans="1:11" ht="19" thickBot="1" x14ac:dyDescent="0.3">
      <c r="A32" s="416"/>
      <c r="B32" s="417"/>
      <c r="C32" s="418"/>
      <c r="E32" s="450"/>
      <c r="F32" s="450"/>
      <c r="G32" s="421"/>
      <c r="H32" s="421"/>
      <c r="I32" s="421"/>
      <c r="J32" s="421"/>
    </row>
    <row r="33" spans="1:11" ht="34.5" customHeight="1" thickBot="1" x14ac:dyDescent="0.3">
      <c r="A33" s="346" t="s">
        <v>59</v>
      </c>
      <c r="B33" s="347" t="s">
        <v>71</v>
      </c>
      <c r="C33" s="348" t="s">
        <v>72</v>
      </c>
      <c r="D33" s="349" t="s">
        <v>73</v>
      </c>
      <c r="E33" s="350" t="s">
        <v>157</v>
      </c>
      <c r="F33" s="350" t="s">
        <v>158</v>
      </c>
      <c r="G33" s="351" t="s">
        <v>201</v>
      </c>
      <c r="H33" s="351" t="s">
        <v>187</v>
      </c>
      <c r="I33" s="351" t="s">
        <v>154</v>
      </c>
      <c r="J33" s="351" t="s">
        <v>161</v>
      </c>
    </row>
    <row r="34" spans="1:11" ht="18" customHeight="1" x14ac:dyDescent="0.25">
      <c r="A34" s="353"/>
      <c r="B34" s="366"/>
      <c r="C34" s="388"/>
      <c r="D34" s="356"/>
      <c r="E34" s="450"/>
      <c r="F34" s="450"/>
      <c r="G34" s="387"/>
      <c r="H34" s="387"/>
      <c r="I34" s="387">
        <v>0</v>
      </c>
      <c r="J34" s="387">
        <v>0</v>
      </c>
      <c r="K34" s="422"/>
    </row>
    <row r="35" spans="1:11" ht="18" customHeight="1" x14ac:dyDescent="0.25">
      <c r="A35" s="359" t="s">
        <v>168</v>
      </c>
      <c r="B35" s="360">
        <f>B37+B39+B41</f>
        <v>676764305.65999997</v>
      </c>
      <c r="C35" s="361">
        <f>C37+C39+C41</f>
        <v>1006526</v>
      </c>
      <c r="D35" s="362">
        <f>+B35+C35</f>
        <v>677770831.65999997</v>
      </c>
      <c r="E35" s="451"/>
      <c r="F35" s="553">
        <f>F37+F39+F41</f>
        <v>60000</v>
      </c>
      <c r="G35" s="364">
        <f>G37+G39+G41</f>
        <v>677710831.65999997</v>
      </c>
      <c r="H35" s="364">
        <f>H37+H39+H41</f>
        <v>677039668.31999993</v>
      </c>
      <c r="I35" s="364">
        <v>532750886.99000001</v>
      </c>
      <c r="J35" s="364">
        <v>551844092.12</v>
      </c>
    </row>
    <row r="36" spans="1:11" ht="18" customHeight="1" x14ac:dyDescent="0.25">
      <c r="A36" s="365"/>
      <c r="B36" s="366"/>
      <c r="C36" s="424"/>
      <c r="D36" s="356"/>
      <c r="E36" s="450"/>
      <c r="F36" s="450"/>
      <c r="G36" s="369"/>
      <c r="H36" s="369"/>
      <c r="I36" s="369">
        <v>0</v>
      </c>
      <c r="J36" s="369">
        <v>0</v>
      </c>
    </row>
    <row r="37" spans="1:11" ht="18" customHeight="1" x14ac:dyDescent="0.25">
      <c r="A37" s="370" t="s">
        <v>30</v>
      </c>
      <c r="B37" s="371">
        <v>107139198.12</v>
      </c>
      <c r="C37" s="425">
        <v>60000</v>
      </c>
      <c r="D37" s="373">
        <f>+B37+C37</f>
        <v>107199198.12</v>
      </c>
      <c r="E37" s="452"/>
      <c r="F37" s="448">
        <v>60000</v>
      </c>
      <c r="G37" s="375">
        <f>+D37-E37-F37</f>
        <v>107139198.12</v>
      </c>
      <c r="H37" s="375">
        <v>107139198</v>
      </c>
      <c r="I37" s="375">
        <v>107139198.12</v>
      </c>
      <c r="J37" s="375">
        <v>107139198.12</v>
      </c>
    </row>
    <row r="38" spans="1:11" ht="18" customHeight="1" x14ac:dyDescent="0.25">
      <c r="A38" s="365"/>
      <c r="B38" s="366"/>
      <c r="C38" s="426"/>
      <c r="D38" s="356"/>
      <c r="E38" s="450"/>
      <c r="F38" s="450"/>
      <c r="G38" s="369"/>
      <c r="H38" s="369"/>
      <c r="I38" s="369">
        <v>0</v>
      </c>
      <c r="J38" s="369">
        <v>0</v>
      </c>
    </row>
    <row r="39" spans="1:11" ht="18" customHeight="1" x14ac:dyDescent="0.25">
      <c r="A39" s="370" t="s">
        <v>31</v>
      </c>
      <c r="B39" s="427">
        <v>515914303.88</v>
      </c>
      <c r="C39" s="427">
        <v>0</v>
      </c>
      <c r="D39" s="373">
        <f>+B39+C39</f>
        <v>515914303.88</v>
      </c>
      <c r="E39" s="452"/>
      <c r="F39" s="452"/>
      <c r="G39" s="375">
        <f>+D39-E39-F39</f>
        <v>515914303.88</v>
      </c>
      <c r="H39" s="375">
        <v>487704706.07999998</v>
      </c>
      <c r="I39" s="375">
        <v>341664513.36000001</v>
      </c>
      <c r="J39" s="375">
        <v>391501398</v>
      </c>
    </row>
    <row r="40" spans="1:11" ht="18" customHeight="1" x14ac:dyDescent="0.25">
      <c r="A40" s="353"/>
      <c r="B40" s="354"/>
      <c r="C40" s="428"/>
      <c r="D40" s="356"/>
      <c r="E40" s="450"/>
      <c r="F40" s="450"/>
      <c r="G40" s="369"/>
      <c r="H40" s="369"/>
      <c r="I40" s="369">
        <v>0</v>
      </c>
      <c r="J40" s="369">
        <v>0</v>
      </c>
    </row>
    <row r="41" spans="1:11" ht="18" customHeight="1" x14ac:dyDescent="0.25">
      <c r="A41" s="370" t="s">
        <v>34</v>
      </c>
      <c r="B41" s="427">
        <v>53710803.659999996</v>
      </c>
      <c r="C41" s="372">
        <f>936277+10249</f>
        <v>946526</v>
      </c>
      <c r="D41" s="373">
        <f>+B41+C41</f>
        <v>54657329.659999996</v>
      </c>
      <c r="E41" s="453"/>
      <c r="F41" s="453"/>
      <c r="G41" s="375">
        <f>+D41-E41-F41</f>
        <v>54657329.659999996</v>
      </c>
      <c r="H41" s="375">
        <v>82195764.239999995</v>
      </c>
      <c r="I41" s="375">
        <v>83947175.50999999</v>
      </c>
      <c r="J41" s="375">
        <v>53203496</v>
      </c>
    </row>
    <row r="42" spans="1:11" ht="18" customHeight="1" x14ac:dyDescent="0.25">
      <c r="A42" s="379"/>
      <c r="B42" s="557"/>
      <c r="C42" s="433"/>
      <c r="D42" s="356"/>
      <c r="E42" s="450"/>
      <c r="F42" s="450"/>
      <c r="G42" s="369"/>
      <c r="H42" s="369"/>
      <c r="I42" s="369">
        <v>0</v>
      </c>
      <c r="J42" s="369">
        <v>0</v>
      </c>
    </row>
    <row r="43" spans="1:11" ht="18" customHeight="1" x14ac:dyDescent="0.25">
      <c r="A43" s="359" t="s">
        <v>167</v>
      </c>
      <c r="B43" s="360">
        <v>39985779.979999997</v>
      </c>
      <c r="C43" s="434">
        <v>0</v>
      </c>
      <c r="D43" s="362">
        <f>+B43+C43</f>
        <v>39985779.979999997</v>
      </c>
      <c r="E43" s="451"/>
      <c r="F43" s="451"/>
      <c r="G43" s="364">
        <f>+D43-E43-F43</f>
        <v>39985779.979999997</v>
      </c>
      <c r="H43" s="364">
        <v>57738160.640000001</v>
      </c>
      <c r="I43" s="364">
        <v>54218868.479999997</v>
      </c>
      <c r="J43" s="364">
        <v>67729175</v>
      </c>
    </row>
    <row r="44" spans="1:11" ht="18" customHeight="1" x14ac:dyDescent="0.25">
      <c r="A44" s="353"/>
      <c r="B44" s="354"/>
      <c r="C44" s="432"/>
      <c r="D44" s="356"/>
      <c r="E44" s="450"/>
      <c r="F44" s="450"/>
      <c r="G44" s="369"/>
      <c r="H44" s="369"/>
      <c r="I44" s="369">
        <v>0</v>
      </c>
      <c r="J44" s="369">
        <v>0</v>
      </c>
    </row>
    <row r="45" spans="1:11" ht="18" customHeight="1" x14ac:dyDescent="0.25">
      <c r="A45" s="359" t="s">
        <v>166</v>
      </c>
      <c r="B45" s="360">
        <v>2046280.72</v>
      </c>
      <c r="C45" s="434">
        <v>107370</v>
      </c>
      <c r="D45" s="362">
        <f>+B45+C45</f>
        <v>2153650.7199999997</v>
      </c>
      <c r="E45" s="451"/>
      <c r="F45" s="451"/>
      <c r="G45" s="364">
        <f>+D45-E45-F45</f>
        <v>2153650.7199999997</v>
      </c>
      <c r="H45" s="364">
        <v>2184545.7400000002</v>
      </c>
      <c r="I45" s="364">
        <v>1994621.76</v>
      </c>
      <c r="J45" s="364">
        <v>2020782</v>
      </c>
    </row>
    <row r="46" spans="1:11" ht="18" customHeight="1" x14ac:dyDescent="0.25">
      <c r="A46" s="353"/>
      <c r="B46" s="435"/>
      <c r="C46" s="432"/>
      <c r="D46" s="356"/>
      <c r="E46" s="450"/>
      <c r="F46" s="450"/>
      <c r="G46" s="369"/>
      <c r="H46" s="369"/>
      <c r="I46" s="369">
        <v>0</v>
      </c>
      <c r="J46" s="369">
        <v>0</v>
      </c>
    </row>
    <row r="47" spans="1:11" ht="18" customHeight="1" x14ac:dyDescent="0.25">
      <c r="A47" s="359" t="s">
        <v>165</v>
      </c>
      <c r="B47" s="360">
        <v>75574785.400000006</v>
      </c>
      <c r="C47" s="361">
        <v>361645</v>
      </c>
      <c r="D47" s="362">
        <f>+B47+C47</f>
        <v>75936430.400000006</v>
      </c>
      <c r="E47" s="554">
        <v>529500</v>
      </c>
      <c r="F47" s="554"/>
      <c r="G47" s="364">
        <f>+D47-E47-F47</f>
        <v>75406930.400000006</v>
      </c>
      <c r="H47" s="364">
        <v>72282314.569999993</v>
      </c>
      <c r="I47" s="364">
        <v>48412332.990000002</v>
      </c>
      <c r="J47" s="364">
        <v>58974803</v>
      </c>
    </row>
    <row r="48" spans="1:11" ht="18" hidden="1" customHeight="1" x14ac:dyDescent="0.25">
      <c r="A48" s="365" t="s">
        <v>40</v>
      </c>
      <c r="B48" s="378">
        <v>0</v>
      </c>
      <c r="C48" s="426">
        <v>0</v>
      </c>
      <c r="D48" s="356">
        <f t="shared" ref="D48:D60" si="3">+B48+C48</f>
        <v>0</v>
      </c>
      <c r="E48" s="450"/>
      <c r="F48" s="450"/>
      <c r="G48" s="387">
        <f t="shared" ref="G48:H60" si="4">+C48+D48-E48</f>
        <v>0</v>
      </c>
      <c r="H48" s="387">
        <f t="shared" si="4"/>
        <v>0</v>
      </c>
      <c r="I48" s="387">
        <v>2659850.52</v>
      </c>
      <c r="J48" s="387">
        <v>263551</v>
      </c>
    </row>
    <row r="49" spans="1:10" ht="18" hidden="1" customHeight="1" x14ac:dyDescent="0.25">
      <c r="A49" s="365" t="s">
        <v>41</v>
      </c>
      <c r="B49" s="378">
        <v>1806.8</v>
      </c>
      <c r="C49" s="426">
        <v>0</v>
      </c>
      <c r="D49" s="356">
        <f t="shared" si="3"/>
        <v>1806.8</v>
      </c>
      <c r="E49" s="450"/>
      <c r="F49" s="450"/>
      <c r="G49" s="387">
        <f t="shared" si="4"/>
        <v>1806.8</v>
      </c>
      <c r="H49" s="387">
        <f t="shared" si="4"/>
        <v>1806.8</v>
      </c>
      <c r="I49" s="387">
        <v>194652.82</v>
      </c>
      <c r="J49" s="387">
        <v>7584</v>
      </c>
    </row>
    <row r="50" spans="1:10" ht="18" hidden="1" customHeight="1" x14ac:dyDescent="0.25">
      <c r="A50" s="365" t="s">
        <v>42</v>
      </c>
      <c r="B50" s="378">
        <v>2530759.09</v>
      </c>
      <c r="C50" s="426">
        <v>0</v>
      </c>
      <c r="D50" s="356">
        <f t="shared" si="3"/>
        <v>2530759.09</v>
      </c>
      <c r="E50" s="450"/>
      <c r="F50" s="450"/>
      <c r="G50" s="387">
        <f t="shared" si="4"/>
        <v>2530759.09</v>
      </c>
      <c r="H50" s="387">
        <f t="shared" si="4"/>
        <v>2530759.09</v>
      </c>
      <c r="I50" s="387">
        <v>2298008.4900000002</v>
      </c>
      <c r="J50" s="387">
        <v>2663972</v>
      </c>
    </row>
    <row r="51" spans="1:10" ht="18" hidden="1" customHeight="1" x14ac:dyDescent="0.25">
      <c r="A51" s="365" t="s">
        <v>43</v>
      </c>
      <c r="B51" s="378">
        <v>505664.5</v>
      </c>
      <c r="C51" s="426">
        <v>0</v>
      </c>
      <c r="D51" s="356">
        <f t="shared" si="3"/>
        <v>505664.5</v>
      </c>
      <c r="E51" s="450"/>
      <c r="F51" s="450"/>
      <c r="G51" s="387">
        <f t="shared" si="4"/>
        <v>505664.5</v>
      </c>
      <c r="H51" s="387">
        <f t="shared" si="4"/>
        <v>505664.5</v>
      </c>
      <c r="I51" s="387">
        <v>829864</v>
      </c>
      <c r="J51" s="387">
        <v>3990</v>
      </c>
    </row>
    <row r="52" spans="1:10" ht="18" hidden="1" customHeight="1" x14ac:dyDescent="0.25">
      <c r="A52" s="365" t="s">
        <v>64</v>
      </c>
      <c r="B52" s="378">
        <v>0</v>
      </c>
      <c r="C52" s="426">
        <v>0</v>
      </c>
      <c r="D52" s="356">
        <f t="shared" si="3"/>
        <v>0</v>
      </c>
      <c r="E52" s="450"/>
      <c r="F52" s="450"/>
      <c r="G52" s="387">
        <f t="shared" si="4"/>
        <v>0</v>
      </c>
      <c r="H52" s="387">
        <f t="shared" si="4"/>
        <v>0</v>
      </c>
      <c r="I52" s="387">
        <v>0</v>
      </c>
      <c r="J52" s="387">
        <v>0</v>
      </c>
    </row>
    <row r="53" spans="1:10" ht="18" hidden="1" customHeight="1" x14ac:dyDescent="0.25">
      <c r="A53" s="365" t="s">
        <v>44</v>
      </c>
      <c r="B53" s="378">
        <v>53336.36</v>
      </c>
      <c r="C53" s="426">
        <v>0</v>
      </c>
      <c r="D53" s="356">
        <f t="shared" si="3"/>
        <v>53336.36</v>
      </c>
      <c r="E53" s="450"/>
      <c r="F53" s="450"/>
      <c r="G53" s="387">
        <f t="shared" si="4"/>
        <v>53336.36</v>
      </c>
      <c r="H53" s="387">
        <f t="shared" si="4"/>
        <v>53336.36</v>
      </c>
      <c r="I53" s="387">
        <v>196110.56</v>
      </c>
      <c r="J53" s="387">
        <v>75060</v>
      </c>
    </row>
    <row r="54" spans="1:10" ht="18" hidden="1" customHeight="1" x14ac:dyDescent="0.25">
      <c r="A54" s="365" t="s">
        <v>45</v>
      </c>
      <c r="B54" s="378">
        <v>1301.0999999999999</v>
      </c>
      <c r="C54" s="426">
        <v>0</v>
      </c>
      <c r="D54" s="356">
        <f t="shared" si="3"/>
        <v>1301.0999999999999</v>
      </c>
      <c r="E54" s="450"/>
      <c r="F54" s="450"/>
      <c r="G54" s="387">
        <f t="shared" si="4"/>
        <v>1301.0999999999999</v>
      </c>
      <c r="H54" s="387">
        <f t="shared" si="4"/>
        <v>1301.0999999999999</v>
      </c>
      <c r="I54" s="387">
        <v>1361.83</v>
      </c>
      <c r="J54" s="387">
        <v>3589</v>
      </c>
    </row>
    <row r="55" spans="1:10" ht="18" hidden="1" customHeight="1" x14ac:dyDescent="0.25">
      <c r="A55" s="365" t="s">
        <v>46</v>
      </c>
      <c r="B55" s="378">
        <v>0</v>
      </c>
      <c r="C55" s="426">
        <v>0</v>
      </c>
      <c r="D55" s="356">
        <f t="shared" si="3"/>
        <v>0</v>
      </c>
      <c r="E55" s="450"/>
      <c r="F55" s="450"/>
      <c r="G55" s="387">
        <f t="shared" si="4"/>
        <v>0</v>
      </c>
      <c r="H55" s="387">
        <f t="shared" si="4"/>
        <v>0</v>
      </c>
      <c r="I55" s="387">
        <v>0</v>
      </c>
      <c r="J55" s="387">
        <v>0</v>
      </c>
    </row>
    <row r="56" spans="1:10" ht="18" hidden="1" customHeight="1" x14ac:dyDescent="0.25">
      <c r="A56" s="365" t="s">
        <v>47</v>
      </c>
      <c r="B56" s="378">
        <v>15604577.01</v>
      </c>
      <c r="C56" s="426">
        <v>0</v>
      </c>
      <c r="D56" s="356">
        <f t="shared" si="3"/>
        <v>15604577.01</v>
      </c>
      <c r="E56" s="450"/>
      <c r="F56" s="450"/>
      <c r="G56" s="387">
        <f t="shared" si="4"/>
        <v>15604577.01</v>
      </c>
      <c r="H56" s="387">
        <f t="shared" si="4"/>
        <v>15604577.01</v>
      </c>
      <c r="I56" s="387">
        <v>11162277.76</v>
      </c>
      <c r="J56" s="387">
        <v>18347101</v>
      </c>
    </row>
    <row r="57" spans="1:10" ht="18" hidden="1" customHeight="1" x14ac:dyDescent="0.25">
      <c r="A57" s="365" t="s">
        <v>48</v>
      </c>
      <c r="B57" s="378">
        <v>242917.62</v>
      </c>
      <c r="C57" s="426">
        <v>0</v>
      </c>
      <c r="D57" s="356">
        <f t="shared" si="3"/>
        <v>242917.62</v>
      </c>
      <c r="E57" s="450"/>
      <c r="F57" s="450"/>
      <c r="G57" s="387">
        <f t="shared" si="4"/>
        <v>242917.62</v>
      </c>
      <c r="H57" s="387">
        <f t="shared" si="4"/>
        <v>242917.62</v>
      </c>
      <c r="I57" s="387">
        <v>41621.760000000002</v>
      </c>
      <c r="J57" s="387">
        <v>254860</v>
      </c>
    </row>
    <row r="58" spans="1:10" ht="18" hidden="1" customHeight="1" x14ac:dyDescent="0.25">
      <c r="A58" s="365" t="s">
        <v>49</v>
      </c>
      <c r="B58" s="378">
        <v>3907.38</v>
      </c>
      <c r="C58" s="426">
        <v>0</v>
      </c>
      <c r="D58" s="356">
        <f t="shared" si="3"/>
        <v>3907.38</v>
      </c>
      <c r="E58" s="450"/>
      <c r="F58" s="450"/>
      <c r="G58" s="387">
        <f t="shared" si="4"/>
        <v>3907.38</v>
      </c>
      <c r="H58" s="387">
        <f t="shared" si="4"/>
        <v>3907.38</v>
      </c>
      <c r="I58" s="387">
        <v>0</v>
      </c>
      <c r="J58" s="387">
        <v>0</v>
      </c>
    </row>
    <row r="59" spans="1:10" ht="18" hidden="1" customHeight="1" x14ac:dyDescent="0.25">
      <c r="A59" s="365" t="s">
        <v>50</v>
      </c>
      <c r="B59" s="378">
        <v>37886056.380000003</v>
      </c>
      <c r="C59" s="426">
        <v>0</v>
      </c>
      <c r="D59" s="356">
        <f t="shared" si="3"/>
        <v>37886056.380000003</v>
      </c>
      <c r="E59" s="450"/>
      <c r="F59" s="450"/>
      <c r="G59" s="387">
        <f t="shared" si="4"/>
        <v>37886056.380000003</v>
      </c>
      <c r="H59" s="387">
        <f t="shared" si="4"/>
        <v>37886056.380000003</v>
      </c>
      <c r="I59" s="387">
        <v>31165994.25</v>
      </c>
      <c r="J59" s="387">
        <v>37324067</v>
      </c>
    </row>
    <row r="60" spans="1:10" ht="18" hidden="1" customHeight="1" x14ac:dyDescent="0.25">
      <c r="A60" s="606"/>
      <c r="B60" s="607"/>
      <c r="C60" s="436"/>
      <c r="D60" s="356">
        <f t="shared" si="3"/>
        <v>0</v>
      </c>
      <c r="E60" s="450"/>
      <c r="F60" s="450"/>
      <c r="G60" s="387">
        <f t="shared" si="4"/>
        <v>0</v>
      </c>
      <c r="H60" s="387">
        <f t="shared" si="4"/>
        <v>0</v>
      </c>
      <c r="I60" s="387">
        <v>0</v>
      </c>
      <c r="J60" s="387">
        <v>0</v>
      </c>
    </row>
    <row r="61" spans="1:10" ht="18" customHeight="1" x14ac:dyDescent="0.25">
      <c r="A61" s="606"/>
      <c r="B61" s="607"/>
      <c r="C61" s="437"/>
      <c r="D61" s="356"/>
      <c r="E61" s="450"/>
      <c r="F61" s="450"/>
      <c r="G61" s="387"/>
      <c r="H61" s="387"/>
      <c r="I61" s="387">
        <v>0</v>
      </c>
      <c r="J61" s="387">
        <v>0</v>
      </c>
    </row>
    <row r="62" spans="1:10" ht="18" customHeight="1" x14ac:dyDescent="0.25">
      <c r="A62" s="359" t="s">
        <v>164</v>
      </c>
      <c r="B62" s="360">
        <v>279808723.38999999</v>
      </c>
      <c r="C62" s="361">
        <f>3360+1</f>
        <v>3361</v>
      </c>
      <c r="D62" s="362">
        <f>+B62+C62</f>
        <v>279812084.38999999</v>
      </c>
      <c r="E62" s="451"/>
      <c r="F62" s="451"/>
      <c r="G62" s="364">
        <f>+D62-E62-F62</f>
        <v>279812084.38999999</v>
      </c>
      <c r="H62" s="364">
        <v>238195351.28999999</v>
      </c>
      <c r="I62" s="364">
        <v>198861093.28</v>
      </c>
      <c r="J62" s="364">
        <v>230639782</v>
      </c>
    </row>
    <row r="63" spans="1:10" ht="18" customHeight="1" x14ac:dyDescent="0.25">
      <c r="A63" s="353"/>
      <c r="B63" s="354"/>
      <c r="C63" s="432"/>
      <c r="D63" s="356"/>
      <c r="E63" s="368"/>
      <c r="F63" s="368"/>
      <c r="G63" s="369"/>
      <c r="H63" s="369"/>
      <c r="I63" s="369">
        <v>0</v>
      </c>
      <c r="J63" s="369">
        <v>0</v>
      </c>
    </row>
    <row r="64" spans="1:10" ht="18.75" customHeight="1" x14ac:dyDescent="0.25">
      <c r="A64" s="359" t="s">
        <v>67</v>
      </c>
      <c r="B64" s="360">
        <v>286433321.16000003</v>
      </c>
      <c r="C64" s="361">
        <v>216071</v>
      </c>
      <c r="D64" s="362">
        <f>+B64+C64</f>
        <v>286649392.16000003</v>
      </c>
      <c r="E64" s="363"/>
      <c r="F64" s="363"/>
      <c r="G64" s="364">
        <f>+D64-E64-F64</f>
        <v>286649392.16000003</v>
      </c>
      <c r="H64" s="364">
        <v>295417317.83999997</v>
      </c>
      <c r="I64" s="364">
        <v>91464107.719999999</v>
      </c>
      <c r="J64" s="364">
        <v>139894529</v>
      </c>
    </row>
    <row r="65" spans="1:12" ht="18.75" customHeight="1" thickBot="1" x14ac:dyDescent="0.3">
      <c r="A65" s="365"/>
      <c r="B65" s="376"/>
      <c r="C65" s="383"/>
      <c r="D65" s="356"/>
      <c r="E65" s="368"/>
      <c r="F65" s="368"/>
      <c r="G65" s="369"/>
      <c r="H65" s="369"/>
      <c r="I65" s="369">
        <v>0</v>
      </c>
      <c r="J65" s="369">
        <v>0</v>
      </c>
    </row>
    <row r="66" spans="1:12" ht="18.75" customHeight="1" thickBot="1" x14ac:dyDescent="0.3">
      <c r="A66" s="346" t="s">
        <v>56</v>
      </c>
      <c r="B66" s="404">
        <f>B35+B43+B45+B47+B62+B64</f>
        <v>1360613196.3100002</v>
      </c>
      <c r="C66" s="405">
        <f>C35+C43+C45+C47+C62+C64</f>
        <v>1694973</v>
      </c>
      <c r="D66" s="406">
        <f>+B66+C66</f>
        <v>1362308169.3100002</v>
      </c>
      <c r="E66" s="407">
        <f>SUM(E35:E65)</f>
        <v>529500</v>
      </c>
      <c r="F66" s="407">
        <f>+F35+F43+F47</f>
        <v>60000</v>
      </c>
      <c r="G66" s="438">
        <f>+D66-E66-F66+1</f>
        <v>1361718670.3100002</v>
      </c>
      <c r="H66" s="438">
        <f>H35+H43+H45+H47+H62+H64+1</f>
        <v>1342857359.3999999</v>
      </c>
      <c r="I66" s="438">
        <v>927701911.22000003</v>
      </c>
      <c r="J66" s="438">
        <v>1051103163.12</v>
      </c>
      <c r="K66" s="415"/>
      <c r="L66" s="415"/>
    </row>
    <row r="68" spans="1:12" x14ac:dyDescent="0.25">
      <c r="C68" s="445"/>
      <c r="G68" s="446"/>
      <c r="H68" s="446"/>
      <c r="I68" s="446"/>
    </row>
    <row r="69" spans="1:12" x14ac:dyDescent="0.25">
      <c r="G69" s="446"/>
      <c r="H69" s="446"/>
      <c r="I69" s="446"/>
    </row>
    <row r="70" spans="1:12" x14ac:dyDescent="0.25">
      <c r="G70" s="446"/>
      <c r="H70" s="446"/>
      <c r="I70" s="446"/>
    </row>
    <row r="71" spans="1:12" x14ac:dyDescent="0.25">
      <c r="G71" s="446"/>
      <c r="H71" s="446"/>
      <c r="I71" s="446"/>
    </row>
  </sheetData>
  <mergeCells count="3">
    <mergeCell ref="A1:J1"/>
    <mergeCell ref="A60:A61"/>
    <mergeCell ref="B60:B61"/>
  </mergeCells>
  <pageMargins left="0.7" right="0.7" top="0.75" bottom="0.75" header="0.3" footer="0.3"/>
  <pageSetup paperSize="9" scale="4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8"/>
  <sheetViews>
    <sheetView showGridLines="0" zoomScale="98" zoomScaleNormal="98" zoomScaleSheetLayoutView="87" workbookViewId="0">
      <selection activeCell="G4" sqref="G4:G66"/>
    </sheetView>
  </sheetViews>
  <sheetFormatPr defaultColWidth="9.1796875" defaultRowHeight="12" x14ac:dyDescent="0.3"/>
  <cols>
    <col min="1" max="1" width="70.7265625" style="95" customWidth="1"/>
    <col min="2" max="3" width="17.7265625" style="95" customWidth="1"/>
    <col min="4" max="4" width="16" style="95" customWidth="1"/>
    <col min="5" max="5" width="14.81640625" style="97" customWidth="1"/>
    <col min="6" max="6" width="16.453125" style="97" customWidth="1"/>
    <col min="7" max="8" width="16" style="95" customWidth="1"/>
    <col min="9" max="9" width="14.54296875" style="95" bestFit="1" customWidth="1"/>
    <col min="10" max="10" width="15.453125" style="95" customWidth="1"/>
    <col min="11" max="11" width="12.26953125" style="95" bestFit="1" customWidth="1"/>
    <col min="12" max="12" width="13" style="95" bestFit="1" customWidth="1"/>
    <col min="13" max="16384" width="9.1796875" style="95"/>
  </cols>
  <sheetData>
    <row r="1" spans="1:8" s="17" customFormat="1" ht="29.25" customHeight="1" thickBot="1" x14ac:dyDescent="0.3">
      <c r="A1" s="597" t="s">
        <v>155</v>
      </c>
      <c r="B1" s="598"/>
      <c r="C1" s="598"/>
      <c r="D1" s="598"/>
      <c r="E1" s="598"/>
      <c r="F1" s="598"/>
      <c r="G1" s="598"/>
      <c r="H1" s="598"/>
    </row>
    <row r="2" spans="1:8" ht="45" customHeight="1" thickBot="1" x14ac:dyDescent="0.35">
      <c r="A2" s="197" t="s">
        <v>76</v>
      </c>
      <c r="B2" s="29" t="s">
        <v>71</v>
      </c>
      <c r="C2" s="198" t="s">
        <v>72</v>
      </c>
      <c r="D2" s="152" t="s">
        <v>73</v>
      </c>
      <c r="E2" s="133" t="s">
        <v>156</v>
      </c>
      <c r="F2" s="133" t="s">
        <v>162</v>
      </c>
      <c r="G2" s="152" t="s">
        <v>161</v>
      </c>
      <c r="H2" s="134" t="s">
        <v>154</v>
      </c>
    </row>
    <row r="3" spans="1:8" ht="17.25" customHeight="1" x14ac:dyDescent="0.3">
      <c r="A3" s="192" t="s">
        <v>77</v>
      </c>
      <c r="B3" s="193"/>
      <c r="C3" s="199"/>
      <c r="D3" s="194"/>
      <c r="E3" s="195"/>
      <c r="F3" s="195"/>
      <c r="G3" s="194"/>
      <c r="H3" s="196"/>
    </row>
    <row r="4" spans="1:8" ht="17.25" customHeight="1" x14ac:dyDescent="0.3">
      <c r="A4" s="107" t="s">
        <v>78</v>
      </c>
      <c r="B4" s="171">
        <f>B5+B6+B7</f>
        <v>158281132</v>
      </c>
      <c r="C4" s="200">
        <v>778965</v>
      </c>
      <c r="D4" s="184">
        <f>+B4+C4</f>
        <v>159060097</v>
      </c>
      <c r="G4" s="191">
        <f t="shared" ref="G4:G17" si="0">+D4+E4-F4</f>
        <v>159060097</v>
      </c>
      <c r="H4" s="253">
        <v>143994941.55000001</v>
      </c>
    </row>
    <row r="5" spans="1:8" ht="17.25" hidden="1" customHeight="1" x14ac:dyDescent="0.3">
      <c r="A5" s="108" t="s">
        <v>79</v>
      </c>
      <c r="B5" s="172">
        <v>102920474</v>
      </c>
      <c r="C5" s="201"/>
      <c r="D5" s="184">
        <f t="shared" ref="D5:D64" si="1">+B5+C5</f>
        <v>102920474</v>
      </c>
      <c r="G5" s="191">
        <f t="shared" si="0"/>
        <v>102920474</v>
      </c>
      <c r="H5" s="253">
        <v>101849558.77</v>
      </c>
    </row>
    <row r="6" spans="1:8" ht="17.25" hidden="1" customHeight="1" x14ac:dyDescent="0.3">
      <c r="A6" s="108" t="s">
        <v>80</v>
      </c>
      <c r="B6" s="172">
        <v>12431042</v>
      </c>
      <c r="C6" s="201"/>
      <c r="D6" s="184">
        <f t="shared" si="1"/>
        <v>12431042</v>
      </c>
      <c r="G6" s="191">
        <f t="shared" si="0"/>
        <v>12431042</v>
      </c>
      <c r="H6" s="253">
        <v>10699920.029999999</v>
      </c>
    </row>
    <row r="7" spans="1:8" ht="17.25" hidden="1" customHeight="1" x14ac:dyDescent="0.3">
      <c r="A7" s="108" t="s">
        <v>81</v>
      </c>
      <c r="B7" s="172">
        <v>42929616</v>
      </c>
      <c r="C7" s="201"/>
      <c r="D7" s="184">
        <f t="shared" si="1"/>
        <v>42929616</v>
      </c>
      <c r="G7" s="191">
        <f t="shared" si="0"/>
        <v>42929616</v>
      </c>
      <c r="H7" s="253">
        <v>31094126.75</v>
      </c>
    </row>
    <row r="8" spans="1:8" ht="17.25" customHeight="1" x14ac:dyDescent="0.3">
      <c r="A8" s="107" t="s">
        <v>82</v>
      </c>
      <c r="B8" s="171">
        <f>B9+B10+B11+B12+B13+B14+B15</f>
        <v>346162078</v>
      </c>
      <c r="C8" s="202">
        <f>C9+C10+C11+C12+C13+C14+C15</f>
        <v>0</v>
      </c>
      <c r="D8" s="184">
        <f t="shared" si="1"/>
        <v>346162078</v>
      </c>
      <c r="G8" s="191">
        <f t="shared" si="0"/>
        <v>346162078</v>
      </c>
      <c r="H8" s="253">
        <v>333092651.69999999</v>
      </c>
    </row>
    <row r="9" spans="1:8" ht="17.25" hidden="1" customHeight="1" x14ac:dyDescent="0.3">
      <c r="A9" s="108" t="s">
        <v>83</v>
      </c>
      <c r="B9" s="172">
        <v>331124200</v>
      </c>
      <c r="C9" s="201"/>
      <c r="D9" s="184">
        <f t="shared" si="1"/>
        <v>331124200</v>
      </c>
      <c r="G9" s="191">
        <f t="shared" si="0"/>
        <v>331124200</v>
      </c>
      <c r="H9" s="253">
        <v>320612212.55000001</v>
      </c>
    </row>
    <row r="10" spans="1:8" ht="17.25" hidden="1" customHeight="1" x14ac:dyDescent="0.3">
      <c r="A10" s="108" t="s">
        <v>84</v>
      </c>
      <c r="B10" s="172">
        <v>5321866</v>
      </c>
      <c r="C10" s="201"/>
      <c r="D10" s="184">
        <f t="shared" si="1"/>
        <v>5321866</v>
      </c>
      <c r="G10" s="191">
        <f t="shared" si="0"/>
        <v>5321866</v>
      </c>
      <c r="H10" s="253">
        <v>4353308.88</v>
      </c>
    </row>
    <row r="11" spans="1:8" ht="17.25" hidden="1" customHeight="1" x14ac:dyDescent="0.3">
      <c r="A11" s="108" t="s">
        <v>85</v>
      </c>
      <c r="B11" s="172">
        <v>162591</v>
      </c>
      <c r="C11" s="201"/>
      <c r="D11" s="184">
        <f t="shared" si="1"/>
        <v>162591</v>
      </c>
      <c r="G11" s="191">
        <f t="shared" si="0"/>
        <v>162591</v>
      </c>
      <c r="H11" s="253">
        <v>176979.68</v>
      </c>
    </row>
    <row r="12" spans="1:8" ht="17.25" hidden="1" customHeight="1" x14ac:dyDescent="0.3">
      <c r="A12" s="109" t="s">
        <v>86</v>
      </c>
      <c r="B12" s="172">
        <v>53238</v>
      </c>
      <c r="C12" s="201"/>
      <c r="D12" s="184">
        <f t="shared" si="1"/>
        <v>53238</v>
      </c>
      <c r="G12" s="191">
        <f t="shared" si="0"/>
        <v>53238</v>
      </c>
      <c r="H12" s="253">
        <v>172315.21</v>
      </c>
    </row>
    <row r="13" spans="1:8" ht="17.25" hidden="1" customHeight="1" x14ac:dyDescent="0.3">
      <c r="A13" s="108" t="s">
        <v>87</v>
      </c>
      <c r="B13" s="172">
        <v>204389</v>
      </c>
      <c r="C13" s="201"/>
      <c r="D13" s="184">
        <f t="shared" si="1"/>
        <v>204389</v>
      </c>
      <c r="G13" s="191">
        <f t="shared" si="0"/>
        <v>204389</v>
      </c>
      <c r="H13" s="253">
        <v>108015.85</v>
      </c>
    </row>
    <row r="14" spans="1:8" ht="17.25" hidden="1" customHeight="1" x14ac:dyDescent="0.3">
      <c r="A14" s="108" t="s">
        <v>88</v>
      </c>
      <c r="B14" s="172">
        <v>2952838</v>
      </c>
      <c r="C14" s="201"/>
      <c r="D14" s="184">
        <f t="shared" si="1"/>
        <v>2952838</v>
      </c>
      <c r="G14" s="191">
        <f t="shared" si="0"/>
        <v>2952838</v>
      </c>
      <c r="H14" s="253">
        <v>2715994.19</v>
      </c>
    </row>
    <row r="15" spans="1:8" ht="17.25" hidden="1" customHeight="1" x14ac:dyDescent="0.3">
      <c r="A15" s="108" t="s">
        <v>89</v>
      </c>
      <c r="B15" s="172">
        <v>6342956</v>
      </c>
      <c r="C15" s="201"/>
      <c r="D15" s="184">
        <f t="shared" si="1"/>
        <v>6342956</v>
      </c>
      <c r="G15" s="191">
        <f t="shared" si="0"/>
        <v>6342956</v>
      </c>
      <c r="H15" s="253">
        <v>4953825.34</v>
      </c>
    </row>
    <row r="16" spans="1:8" s="99" customFormat="1" ht="17.25" customHeight="1" x14ac:dyDescent="0.3">
      <c r="A16" s="107" t="s">
        <v>90</v>
      </c>
      <c r="B16" s="173">
        <v>0</v>
      </c>
      <c r="C16" s="203">
        <v>0</v>
      </c>
      <c r="D16" s="184">
        <f t="shared" si="1"/>
        <v>0</v>
      </c>
      <c r="E16" s="98"/>
      <c r="F16" s="98"/>
      <c r="G16" s="191">
        <f t="shared" si="0"/>
        <v>0</v>
      </c>
      <c r="H16" s="253">
        <v>0</v>
      </c>
    </row>
    <row r="17" spans="1:10" s="99" customFormat="1" ht="17.25" customHeight="1" x14ac:dyDescent="0.3">
      <c r="A17" s="107" t="s">
        <v>91</v>
      </c>
      <c r="B17" s="173">
        <v>14979201</v>
      </c>
      <c r="C17" s="203">
        <v>0</v>
      </c>
      <c r="D17" s="184">
        <f>+B17+C17</f>
        <v>14979201</v>
      </c>
      <c r="E17" s="98"/>
      <c r="F17" s="98"/>
      <c r="G17" s="191">
        <f t="shared" si="0"/>
        <v>14979201</v>
      </c>
      <c r="H17" s="253">
        <v>10945332.82</v>
      </c>
    </row>
    <row r="18" spans="1:10" s="99" customFormat="1" ht="17.25" customHeight="1" x14ac:dyDescent="0.3">
      <c r="A18" s="107" t="s">
        <v>92</v>
      </c>
      <c r="B18" s="173">
        <v>30979728</v>
      </c>
      <c r="C18" s="203">
        <v>893063</v>
      </c>
      <c r="D18" s="184">
        <f>+B18+C18</f>
        <v>31872791</v>
      </c>
      <c r="E18" s="242">
        <v>64281</v>
      </c>
      <c r="F18" s="98">
        <v>507238</v>
      </c>
      <c r="G18" s="191">
        <f>+D18-E18-F18</f>
        <v>31301272</v>
      </c>
      <c r="H18" s="253">
        <v>42037994.969999999</v>
      </c>
      <c r="I18" s="118">
        <f>D18-E18-F18</f>
        <v>31301272</v>
      </c>
      <c r="J18" s="119">
        <f>F18-E31</f>
        <v>0</v>
      </c>
    </row>
    <row r="19" spans="1:10" s="99" customFormat="1" ht="17.25" customHeight="1" x14ac:dyDescent="0.3">
      <c r="A19" s="107" t="s">
        <v>93</v>
      </c>
      <c r="B19" s="173">
        <v>0</v>
      </c>
      <c r="C19" s="203">
        <v>0</v>
      </c>
      <c r="D19" s="184">
        <f t="shared" si="1"/>
        <v>0</v>
      </c>
      <c r="E19" s="98"/>
      <c r="F19" s="98"/>
      <c r="G19" s="191">
        <f>+D19+E19-F19</f>
        <v>0</v>
      </c>
      <c r="H19" s="253">
        <v>0</v>
      </c>
    </row>
    <row r="20" spans="1:10" s="99" customFormat="1" ht="17.25" customHeight="1" x14ac:dyDescent="0.3">
      <c r="A20" s="107" t="s">
        <v>94</v>
      </c>
      <c r="B20" s="173">
        <v>513718</v>
      </c>
      <c r="C20" s="203">
        <v>0</v>
      </c>
      <c r="D20" s="184">
        <f>+B20+C20</f>
        <v>513718</v>
      </c>
      <c r="E20" s="98"/>
      <c r="F20" s="98"/>
      <c r="G20" s="191">
        <f>+D20+E20-F20</f>
        <v>513718</v>
      </c>
      <c r="H20" s="253">
        <v>0</v>
      </c>
    </row>
    <row r="21" spans="1:10" ht="17.25" customHeight="1" x14ac:dyDescent="0.3">
      <c r="A21" s="110" t="s">
        <v>95</v>
      </c>
      <c r="B21" s="174">
        <f>B4+B8+B16+B17+B18+B19+B20</f>
        <v>550915857</v>
      </c>
      <c r="C21" s="204">
        <f>C4+C8+C16+C17+C18+C19+C20</f>
        <v>1672028</v>
      </c>
      <c r="D21" s="185">
        <f>+B21+C21</f>
        <v>552587885</v>
      </c>
      <c r="E21" s="104">
        <f>SUM(E4:E20)</f>
        <v>64281</v>
      </c>
      <c r="F21" s="104">
        <f>SUM(F4:F20)</f>
        <v>507238</v>
      </c>
      <c r="G21" s="185">
        <f>+D21-E21-F21</f>
        <v>552016366</v>
      </c>
      <c r="H21" s="249">
        <v>530070921.03999996</v>
      </c>
      <c r="I21" s="96">
        <f>G4+G8+G17+G18</f>
        <v>551502648</v>
      </c>
    </row>
    <row r="22" spans="1:10" ht="17.25" customHeight="1" x14ac:dyDescent="0.3">
      <c r="A22" s="106" t="s">
        <v>96</v>
      </c>
      <c r="B22" s="170"/>
      <c r="C22" s="205"/>
      <c r="D22" s="186">
        <f t="shared" si="1"/>
        <v>0</v>
      </c>
      <c r="E22" s="103"/>
      <c r="F22" s="103"/>
      <c r="G22" s="186">
        <f>+D22+E22-F22</f>
        <v>0</v>
      </c>
      <c r="H22" s="111">
        <v>0</v>
      </c>
    </row>
    <row r="23" spans="1:10" ht="17.25" customHeight="1" x14ac:dyDescent="0.3">
      <c r="A23" s="107" t="s">
        <v>97</v>
      </c>
      <c r="B23" s="171">
        <f>B24+B30</f>
        <v>270303515</v>
      </c>
      <c r="C23" s="200">
        <v>446434</v>
      </c>
      <c r="D23" s="187">
        <f t="shared" si="1"/>
        <v>270749949</v>
      </c>
      <c r="G23" s="187">
        <f t="shared" ref="G23:G51" si="2">+D23-E23-F23</f>
        <v>270749949</v>
      </c>
      <c r="H23" s="250">
        <v>254547178.16000003</v>
      </c>
    </row>
    <row r="24" spans="1:10" ht="17.25" customHeight="1" x14ac:dyDescent="0.3">
      <c r="A24" s="107" t="s">
        <v>98</v>
      </c>
      <c r="B24" s="171">
        <f>B25+B26+B27+B28+B29</f>
        <v>197093922</v>
      </c>
      <c r="C24" s="200">
        <f>C25+C26+C27+C28+C29</f>
        <v>0</v>
      </c>
      <c r="D24" s="187">
        <f t="shared" si="1"/>
        <v>197093922</v>
      </c>
      <c r="G24" s="187">
        <f t="shared" si="2"/>
        <v>197093922</v>
      </c>
      <c r="H24" s="250">
        <v>183576670.23000002</v>
      </c>
    </row>
    <row r="25" spans="1:10" ht="17.25" hidden="1" customHeight="1" x14ac:dyDescent="0.3">
      <c r="A25" s="108" t="s">
        <v>99</v>
      </c>
      <c r="B25" s="175">
        <v>170753841</v>
      </c>
      <c r="C25" s="206"/>
      <c r="D25" s="187">
        <f t="shared" si="1"/>
        <v>170753841</v>
      </c>
      <c r="G25" s="187">
        <f t="shared" si="2"/>
        <v>170753841</v>
      </c>
      <c r="H25" s="250">
        <v>157692033.81999999</v>
      </c>
    </row>
    <row r="26" spans="1:10" ht="17.25" hidden="1" customHeight="1" x14ac:dyDescent="0.3">
      <c r="A26" s="108" t="s">
        <v>100</v>
      </c>
      <c r="B26" s="175">
        <v>20575409</v>
      </c>
      <c r="C26" s="206"/>
      <c r="D26" s="187">
        <f t="shared" si="1"/>
        <v>20575409</v>
      </c>
      <c r="G26" s="187">
        <f t="shared" si="2"/>
        <v>20575409</v>
      </c>
      <c r="H26" s="250">
        <v>21021503.859999999</v>
      </c>
    </row>
    <row r="27" spans="1:10" ht="17.25" hidden="1" customHeight="1" x14ac:dyDescent="0.3">
      <c r="A27" s="108" t="s">
        <v>101</v>
      </c>
      <c r="B27" s="175">
        <v>1732627</v>
      </c>
      <c r="C27" s="206"/>
      <c r="D27" s="187">
        <f t="shared" si="1"/>
        <v>1732627</v>
      </c>
      <c r="G27" s="187">
        <f t="shared" si="2"/>
        <v>1732627</v>
      </c>
      <c r="H27" s="250">
        <v>1695903.66</v>
      </c>
    </row>
    <row r="28" spans="1:10" ht="17.25" hidden="1" customHeight="1" x14ac:dyDescent="0.3">
      <c r="A28" s="108" t="s">
        <v>102</v>
      </c>
      <c r="B28" s="175">
        <v>1078921</v>
      </c>
      <c r="C28" s="206"/>
      <c r="D28" s="187">
        <f t="shared" si="1"/>
        <v>1078921</v>
      </c>
      <c r="G28" s="187">
        <f t="shared" si="2"/>
        <v>1078921</v>
      </c>
      <c r="H28" s="250">
        <v>1137855.58</v>
      </c>
    </row>
    <row r="29" spans="1:10" ht="17.25" hidden="1" customHeight="1" x14ac:dyDescent="0.3">
      <c r="A29" s="108" t="s">
        <v>103</v>
      </c>
      <c r="B29" s="175">
        <v>2953124</v>
      </c>
      <c r="C29" s="206"/>
      <c r="D29" s="187">
        <f t="shared" si="1"/>
        <v>2953124</v>
      </c>
      <c r="G29" s="187">
        <f t="shared" si="2"/>
        <v>2953124</v>
      </c>
      <c r="H29" s="250">
        <v>2029373.31</v>
      </c>
    </row>
    <row r="30" spans="1:10" s="99" customFormat="1" ht="17.25" customHeight="1" x14ac:dyDescent="0.3">
      <c r="A30" s="107" t="s">
        <v>104</v>
      </c>
      <c r="B30" s="176">
        <v>73209593</v>
      </c>
      <c r="C30" s="207"/>
      <c r="D30" s="187">
        <f t="shared" si="1"/>
        <v>73209593</v>
      </c>
      <c r="E30" s="98"/>
      <c r="F30" s="98"/>
      <c r="G30" s="187">
        <f t="shared" si="2"/>
        <v>73209593</v>
      </c>
      <c r="H30" s="250">
        <v>70499628.930000007</v>
      </c>
    </row>
    <row r="31" spans="1:10" s="99" customFormat="1" ht="17.25" customHeight="1" x14ac:dyDescent="0.3">
      <c r="A31" s="107" t="s">
        <v>105</v>
      </c>
      <c r="B31" s="177">
        <f>B32+B33+B34+B35+B36+B37+B38+B39+B40+B41+B42+B43</f>
        <v>198070811</v>
      </c>
      <c r="C31" s="200">
        <f>136555+512287+16117</f>
        <v>664959</v>
      </c>
      <c r="D31" s="187">
        <f t="shared" si="1"/>
        <v>198735770</v>
      </c>
      <c r="E31" s="98">
        <v>507238</v>
      </c>
      <c r="F31" s="242">
        <v>64281</v>
      </c>
      <c r="G31" s="187">
        <f t="shared" si="2"/>
        <v>198164251</v>
      </c>
      <c r="H31" s="250">
        <v>183878398.08999997</v>
      </c>
      <c r="I31" s="119">
        <f>D31-E31-F31</f>
        <v>198164251</v>
      </c>
    </row>
    <row r="32" spans="1:10" ht="17.25" hidden="1" customHeight="1" x14ac:dyDescent="0.3">
      <c r="A32" s="108" t="s">
        <v>106</v>
      </c>
      <c r="B32" s="175">
        <v>66045640</v>
      </c>
      <c r="C32" s="206"/>
      <c r="D32" s="187">
        <f t="shared" si="1"/>
        <v>66045640</v>
      </c>
      <c r="G32" s="187">
        <f t="shared" si="2"/>
        <v>66045640</v>
      </c>
      <c r="H32" s="250">
        <v>63700255.829999998</v>
      </c>
    </row>
    <row r="33" spans="1:8" ht="17.25" hidden="1" customHeight="1" x14ac:dyDescent="0.3">
      <c r="A33" s="108" t="s">
        <v>107</v>
      </c>
      <c r="B33" s="175">
        <v>21650694</v>
      </c>
      <c r="C33" s="206"/>
      <c r="D33" s="187">
        <f t="shared" si="1"/>
        <v>21650694</v>
      </c>
      <c r="G33" s="187">
        <f t="shared" si="2"/>
        <v>21650694</v>
      </c>
      <c r="H33" s="250">
        <v>19472289.210000001</v>
      </c>
    </row>
    <row r="34" spans="1:8" ht="17.25" hidden="1" customHeight="1" x14ac:dyDescent="0.3">
      <c r="A34" s="109" t="s">
        <v>108</v>
      </c>
      <c r="B34" s="175">
        <v>298832</v>
      </c>
      <c r="C34" s="206"/>
      <c r="D34" s="187">
        <f t="shared" si="1"/>
        <v>298832</v>
      </c>
      <c r="G34" s="187">
        <f t="shared" si="2"/>
        <v>298832</v>
      </c>
      <c r="H34" s="250">
        <v>513728.55</v>
      </c>
    </row>
    <row r="35" spans="1:8" ht="17.25" hidden="1" customHeight="1" x14ac:dyDescent="0.3">
      <c r="A35" s="108" t="s">
        <v>109</v>
      </c>
      <c r="B35" s="175">
        <v>15821865</v>
      </c>
      <c r="C35" s="206"/>
      <c r="D35" s="187">
        <f t="shared" si="1"/>
        <v>15821865</v>
      </c>
      <c r="G35" s="187">
        <f t="shared" si="2"/>
        <v>15821865</v>
      </c>
      <c r="H35" s="250">
        <v>7618265.4800000004</v>
      </c>
    </row>
    <row r="36" spans="1:8" ht="17.25" hidden="1" customHeight="1" x14ac:dyDescent="0.3">
      <c r="A36" s="108" t="s">
        <v>110</v>
      </c>
      <c r="B36" s="175">
        <v>9579548</v>
      </c>
      <c r="C36" s="206"/>
      <c r="D36" s="187">
        <f t="shared" si="1"/>
        <v>9579548</v>
      </c>
      <c r="G36" s="187">
        <f t="shared" si="2"/>
        <v>9579548</v>
      </c>
      <c r="H36" s="250">
        <v>8760385.7899999991</v>
      </c>
    </row>
    <row r="37" spans="1:8" ht="17.25" hidden="1" customHeight="1" x14ac:dyDescent="0.3">
      <c r="A37" s="108" t="s">
        <v>111</v>
      </c>
      <c r="B37" s="175">
        <v>0</v>
      </c>
      <c r="C37" s="206"/>
      <c r="D37" s="187">
        <f t="shared" si="1"/>
        <v>0</v>
      </c>
      <c r="G37" s="187">
        <f t="shared" si="2"/>
        <v>0</v>
      </c>
      <c r="H37" s="250">
        <v>0</v>
      </c>
    </row>
    <row r="38" spans="1:8" ht="17.25" hidden="1" customHeight="1" x14ac:dyDescent="0.3">
      <c r="A38" s="108" t="s">
        <v>112</v>
      </c>
      <c r="B38" s="175">
        <v>5208627</v>
      </c>
      <c r="C38" s="206"/>
      <c r="D38" s="187">
        <f t="shared" si="1"/>
        <v>5208627</v>
      </c>
      <c r="G38" s="187">
        <f t="shared" si="2"/>
        <v>5208627</v>
      </c>
      <c r="H38" s="250">
        <v>4203697.5999999996</v>
      </c>
    </row>
    <row r="39" spans="1:8" ht="17.25" hidden="1" customHeight="1" x14ac:dyDescent="0.3">
      <c r="A39" s="108" t="s">
        <v>113</v>
      </c>
      <c r="B39" s="178">
        <v>64086574</v>
      </c>
      <c r="C39" s="206"/>
      <c r="D39" s="187">
        <f t="shared" si="1"/>
        <v>64086574</v>
      </c>
      <c r="G39" s="187">
        <f t="shared" si="2"/>
        <v>64086574</v>
      </c>
      <c r="H39" s="250">
        <v>62518495.869999997</v>
      </c>
    </row>
    <row r="40" spans="1:8" ht="17.25" hidden="1" customHeight="1" x14ac:dyDescent="0.3">
      <c r="A40" s="108" t="s">
        <v>114</v>
      </c>
      <c r="B40" s="175">
        <v>2926003</v>
      </c>
      <c r="C40" s="206"/>
      <c r="D40" s="187">
        <f t="shared" si="1"/>
        <v>2926003</v>
      </c>
      <c r="G40" s="187">
        <f t="shared" si="2"/>
        <v>2926003</v>
      </c>
      <c r="H40" s="250">
        <v>2218451.23</v>
      </c>
    </row>
    <row r="41" spans="1:8" ht="17.25" hidden="1" customHeight="1" x14ac:dyDescent="0.3">
      <c r="A41" s="108" t="s">
        <v>115</v>
      </c>
      <c r="B41" s="175">
        <v>0</v>
      </c>
      <c r="C41" s="206"/>
      <c r="D41" s="187">
        <f t="shared" si="1"/>
        <v>0</v>
      </c>
      <c r="G41" s="187">
        <f t="shared" si="2"/>
        <v>0</v>
      </c>
      <c r="H41" s="250">
        <v>0</v>
      </c>
    </row>
    <row r="42" spans="1:8" ht="17.25" hidden="1" customHeight="1" x14ac:dyDescent="0.3">
      <c r="A42" s="108" t="s">
        <v>116</v>
      </c>
      <c r="B42" s="175">
        <v>6443063</v>
      </c>
      <c r="C42" s="206"/>
      <c r="D42" s="187">
        <f t="shared" si="1"/>
        <v>6443063</v>
      </c>
      <c r="G42" s="187">
        <f t="shared" si="2"/>
        <v>6443063</v>
      </c>
      <c r="H42" s="250">
        <v>7598588.3700000001</v>
      </c>
    </row>
    <row r="43" spans="1:8" ht="17.25" hidden="1" customHeight="1" x14ac:dyDescent="0.3">
      <c r="A43" s="108" t="s">
        <v>117</v>
      </c>
      <c r="B43" s="175">
        <v>6009965</v>
      </c>
      <c r="C43" s="206"/>
      <c r="D43" s="187">
        <f t="shared" si="1"/>
        <v>6009965</v>
      </c>
      <c r="G43" s="187">
        <f t="shared" si="2"/>
        <v>6009965</v>
      </c>
      <c r="H43" s="250">
        <v>7441963.1600000001</v>
      </c>
    </row>
    <row r="44" spans="1:8" s="99" customFormat="1" ht="17.25" customHeight="1" x14ac:dyDescent="0.3">
      <c r="A44" s="107" t="s">
        <v>118</v>
      </c>
      <c r="B44" s="171">
        <f>B45+B46+B47+B48</f>
        <v>23564470</v>
      </c>
      <c r="C44" s="200">
        <v>78857</v>
      </c>
      <c r="D44" s="187">
        <f t="shared" si="1"/>
        <v>23643327</v>
      </c>
      <c r="E44" s="98"/>
      <c r="F44" s="98"/>
      <c r="G44" s="187">
        <f t="shared" si="2"/>
        <v>23643327</v>
      </c>
      <c r="H44" s="250">
        <v>22406633.130000003</v>
      </c>
    </row>
    <row r="45" spans="1:8" ht="17.25" hidden="1" customHeight="1" x14ac:dyDescent="0.3">
      <c r="A45" s="108" t="s">
        <v>119</v>
      </c>
      <c r="B45" s="175">
        <v>371270</v>
      </c>
      <c r="C45" s="206"/>
      <c r="D45" s="187">
        <f t="shared" si="1"/>
        <v>371270</v>
      </c>
      <c r="G45" s="187">
        <f t="shared" si="2"/>
        <v>371270</v>
      </c>
      <c r="H45" s="250">
        <v>237384.17</v>
      </c>
    </row>
    <row r="46" spans="1:8" ht="17.25" hidden="1" customHeight="1" x14ac:dyDescent="0.3">
      <c r="A46" s="108" t="s">
        <v>120</v>
      </c>
      <c r="B46" s="175">
        <v>23193200</v>
      </c>
      <c r="C46" s="206"/>
      <c r="D46" s="187">
        <f t="shared" si="1"/>
        <v>23193200</v>
      </c>
      <c r="G46" s="187">
        <f t="shared" si="2"/>
        <v>23193200</v>
      </c>
      <c r="H46" s="250">
        <v>22082568.960000001</v>
      </c>
    </row>
    <row r="47" spans="1:8" ht="17.25" hidden="1" customHeight="1" x14ac:dyDescent="0.3">
      <c r="A47" s="108" t="s">
        <v>121</v>
      </c>
      <c r="B47" s="175">
        <v>0</v>
      </c>
      <c r="C47" s="206"/>
      <c r="D47" s="187">
        <f t="shared" si="1"/>
        <v>0</v>
      </c>
      <c r="G47" s="187">
        <f t="shared" si="2"/>
        <v>0</v>
      </c>
      <c r="H47" s="250">
        <v>0</v>
      </c>
    </row>
    <row r="48" spans="1:8" ht="17.25" hidden="1" customHeight="1" x14ac:dyDescent="0.3">
      <c r="A48" s="108" t="s">
        <v>122</v>
      </c>
      <c r="B48" s="175">
        <v>0</v>
      </c>
      <c r="C48" s="206"/>
      <c r="D48" s="187">
        <f t="shared" si="1"/>
        <v>0</v>
      </c>
      <c r="G48" s="187">
        <f t="shared" si="2"/>
        <v>0</v>
      </c>
      <c r="H48" s="250">
        <v>0</v>
      </c>
    </row>
    <row r="49" spans="1:12" s="99" customFormat="1" ht="17.25" customHeight="1" x14ac:dyDescent="0.3">
      <c r="A49" s="107" t="s">
        <v>123</v>
      </c>
      <c r="B49" s="176">
        <v>26563370</v>
      </c>
      <c r="C49" s="207"/>
      <c r="D49" s="187">
        <f t="shared" si="1"/>
        <v>26563370</v>
      </c>
      <c r="E49" s="98"/>
      <c r="F49" s="98"/>
      <c r="G49" s="187">
        <f t="shared" si="2"/>
        <v>26563370</v>
      </c>
      <c r="H49" s="250">
        <v>26335278.77</v>
      </c>
      <c r="J49" s="119"/>
    </row>
    <row r="50" spans="1:12" s="99" customFormat="1" ht="17.25" customHeight="1" x14ac:dyDescent="0.3">
      <c r="A50" s="107" t="s">
        <v>124</v>
      </c>
      <c r="B50" s="176">
        <v>1381672</v>
      </c>
      <c r="C50" s="207">
        <v>128334</v>
      </c>
      <c r="D50" s="187">
        <f t="shared" si="1"/>
        <v>1510006</v>
      </c>
      <c r="E50" s="98"/>
      <c r="F50" s="98"/>
      <c r="G50" s="187">
        <f t="shared" si="2"/>
        <v>1510006</v>
      </c>
      <c r="H50" s="250">
        <v>1400261.86</v>
      </c>
    </row>
    <row r="51" spans="1:12" ht="17.25" customHeight="1" x14ac:dyDescent="0.3">
      <c r="A51" s="110" t="s">
        <v>125</v>
      </c>
      <c r="B51" s="174">
        <f>B23+B31+B44+B49+B50</f>
        <v>519883838</v>
      </c>
      <c r="C51" s="204">
        <f>C23+C31+C44+C49+C50</f>
        <v>1318584</v>
      </c>
      <c r="D51" s="185">
        <f>+B51+C51</f>
        <v>521202422</v>
      </c>
      <c r="E51" s="104">
        <f>SUM(E23:E50)</f>
        <v>507238</v>
      </c>
      <c r="F51" s="104">
        <f>SUM(F23:F50)</f>
        <v>64281</v>
      </c>
      <c r="G51" s="185">
        <f t="shared" si="2"/>
        <v>520630903</v>
      </c>
      <c r="H51" s="249">
        <v>488567750.00999999</v>
      </c>
      <c r="I51" s="100">
        <f>G23+G31+G44+G49+G50</f>
        <v>520630903</v>
      </c>
      <c r="J51" s="100"/>
      <c r="K51" s="100"/>
      <c r="L51" s="100"/>
    </row>
    <row r="52" spans="1:12" ht="17.25" customHeight="1" x14ac:dyDescent="0.3">
      <c r="A52" s="112" t="s">
        <v>126</v>
      </c>
      <c r="B52" s="174">
        <f>B21-B51</f>
        <v>31032019</v>
      </c>
      <c r="C52" s="204">
        <f>C21-C51</f>
        <v>353444</v>
      </c>
      <c r="D52" s="185">
        <f>+B52+C52</f>
        <v>31385463</v>
      </c>
      <c r="E52" s="104">
        <f>E21-E51</f>
        <v>-442957</v>
      </c>
      <c r="F52" s="104">
        <f>F21-F51</f>
        <v>442957</v>
      </c>
      <c r="G52" s="185">
        <f>+G21-G51</f>
        <v>31385463</v>
      </c>
      <c r="H52" s="249">
        <v>41503171.029999971</v>
      </c>
      <c r="I52" s="120">
        <f>G23+G31+G44+G49+G50</f>
        <v>520630903</v>
      </c>
      <c r="J52" s="100"/>
    </row>
    <row r="53" spans="1:12" ht="17.25" customHeight="1" x14ac:dyDescent="0.3">
      <c r="A53" s="106" t="s">
        <v>127</v>
      </c>
      <c r="B53" s="179">
        <f>+B54+B55+B56</f>
        <v>-125625</v>
      </c>
      <c r="C53" s="208">
        <f>+C54+C55+C56</f>
        <v>-29</v>
      </c>
      <c r="D53" s="188">
        <f t="shared" si="1"/>
        <v>-125654</v>
      </c>
      <c r="E53" s="103"/>
      <c r="F53" s="103"/>
      <c r="G53" s="188">
        <f t="shared" ref="G53:G62" si="3">+D53+E53-F53</f>
        <v>-125654</v>
      </c>
      <c r="H53" s="251">
        <v>-427106.1</v>
      </c>
      <c r="I53" s="100"/>
      <c r="J53" s="100"/>
    </row>
    <row r="54" spans="1:12" ht="17.25" customHeight="1" x14ac:dyDescent="0.3">
      <c r="A54" s="108" t="s">
        <v>128</v>
      </c>
      <c r="B54" s="180">
        <v>20419</v>
      </c>
      <c r="C54" s="209">
        <v>36</v>
      </c>
      <c r="D54" s="189">
        <f t="shared" si="1"/>
        <v>20455</v>
      </c>
      <c r="G54" s="189">
        <f t="shared" si="3"/>
        <v>20455</v>
      </c>
      <c r="H54" s="252">
        <v>11314.96</v>
      </c>
    </row>
    <row r="55" spans="1:12" ht="17.25" customHeight="1" x14ac:dyDescent="0.3">
      <c r="A55" s="108" t="s">
        <v>129</v>
      </c>
      <c r="B55" s="180">
        <v>-143629</v>
      </c>
      <c r="C55" s="209">
        <v>-65</v>
      </c>
      <c r="D55" s="189">
        <f t="shared" si="1"/>
        <v>-143694</v>
      </c>
      <c r="G55" s="189">
        <f t="shared" si="3"/>
        <v>-143694</v>
      </c>
      <c r="H55" s="252">
        <v>-436968.69</v>
      </c>
    </row>
    <row r="56" spans="1:12" ht="17.25" customHeight="1" x14ac:dyDescent="0.3">
      <c r="A56" s="108" t="s">
        <v>130</v>
      </c>
      <c r="B56" s="180">
        <v>-2415</v>
      </c>
      <c r="C56" s="209"/>
      <c r="D56" s="189">
        <f t="shared" si="1"/>
        <v>-2415</v>
      </c>
      <c r="G56" s="189">
        <f t="shared" si="3"/>
        <v>-2415</v>
      </c>
      <c r="H56" s="252">
        <v>-1452.37</v>
      </c>
    </row>
    <row r="57" spans="1:12" s="99" customFormat="1" ht="17.25" customHeight="1" x14ac:dyDescent="0.3">
      <c r="A57" s="106" t="s">
        <v>131</v>
      </c>
      <c r="B57" s="181">
        <f>B58+B59</f>
        <v>17468</v>
      </c>
      <c r="C57" s="210">
        <v>0</v>
      </c>
      <c r="D57" s="188">
        <f t="shared" si="1"/>
        <v>17468</v>
      </c>
      <c r="E57" s="105"/>
      <c r="F57" s="105"/>
      <c r="G57" s="188">
        <f t="shared" si="3"/>
        <v>17468</v>
      </c>
      <c r="H57" s="251">
        <v>-10451.18</v>
      </c>
    </row>
    <row r="58" spans="1:12" ht="17.25" customHeight="1" x14ac:dyDescent="0.3">
      <c r="A58" s="108" t="s">
        <v>132</v>
      </c>
      <c r="B58" s="180">
        <v>17468</v>
      </c>
      <c r="C58" s="209">
        <v>0</v>
      </c>
      <c r="D58" s="189">
        <f t="shared" si="1"/>
        <v>17468</v>
      </c>
      <c r="G58" s="189">
        <f t="shared" si="3"/>
        <v>17468</v>
      </c>
      <c r="H58" s="252">
        <v>0</v>
      </c>
    </row>
    <row r="59" spans="1:12" ht="17.25" customHeight="1" x14ac:dyDescent="0.3">
      <c r="A59" s="108" t="s">
        <v>133</v>
      </c>
      <c r="B59" s="180">
        <v>0</v>
      </c>
      <c r="C59" s="209">
        <v>0</v>
      </c>
      <c r="D59" s="189">
        <f t="shared" si="1"/>
        <v>0</v>
      </c>
      <c r="G59" s="189">
        <f t="shared" si="3"/>
        <v>0</v>
      </c>
      <c r="H59" s="252">
        <v>-10451.18</v>
      </c>
    </row>
    <row r="60" spans="1:12" s="99" customFormat="1" ht="17.25" customHeight="1" x14ac:dyDescent="0.3">
      <c r="A60" s="106" t="s">
        <v>134</v>
      </c>
      <c r="B60" s="179">
        <f>B61+B62</f>
        <v>13337815</v>
      </c>
      <c r="C60" s="208">
        <f>C61+C62</f>
        <v>0</v>
      </c>
      <c r="D60" s="188">
        <f t="shared" si="1"/>
        <v>13337815</v>
      </c>
      <c r="E60" s="105"/>
      <c r="F60" s="105"/>
      <c r="G60" s="188">
        <f t="shared" si="3"/>
        <v>13337815</v>
      </c>
      <c r="H60" s="251">
        <v>20775822.919999998</v>
      </c>
    </row>
    <row r="61" spans="1:12" ht="17.25" customHeight="1" x14ac:dyDescent="0.3">
      <c r="A61" s="108" t="s">
        <v>135</v>
      </c>
      <c r="B61" s="180">
        <v>13861089</v>
      </c>
      <c r="C61" s="209"/>
      <c r="D61" s="189">
        <f t="shared" si="1"/>
        <v>13861089</v>
      </c>
      <c r="G61" s="189">
        <f t="shared" si="3"/>
        <v>13861089</v>
      </c>
      <c r="H61" s="252">
        <v>22085746.579999998</v>
      </c>
    </row>
    <row r="62" spans="1:12" ht="17.25" customHeight="1" x14ac:dyDescent="0.3">
      <c r="A62" s="108" t="s">
        <v>136</v>
      </c>
      <c r="B62" s="180">
        <v>-523274</v>
      </c>
      <c r="C62" s="209"/>
      <c r="D62" s="189">
        <f t="shared" si="1"/>
        <v>-523274</v>
      </c>
      <c r="G62" s="189">
        <f t="shared" si="3"/>
        <v>-523274</v>
      </c>
      <c r="H62" s="252">
        <v>-1309923.6599999999</v>
      </c>
    </row>
    <row r="63" spans="1:12" ht="17.25" customHeight="1" x14ac:dyDescent="0.3">
      <c r="A63" s="107" t="s">
        <v>137</v>
      </c>
      <c r="B63" s="173">
        <f>B52+B53+B57+B60</f>
        <v>44261677</v>
      </c>
      <c r="C63" s="203">
        <f>C52+C53+C57+C60</f>
        <v>353415</v>
      </c>
      <c r="D63" s="189">
        <f>+B63+C63</f>
        <v>44615092</v>
      </c>
      <c r="G63" s="189">
        <f>G52+G53+G57+G60</f>
        <v>44615092</v>
      </c>
      <c r="H63" s="252">
        <v>61841436.669999972</v>
      </c>
    </row>
    <row r="64" spans="1:12" ht="17.25" customHeight="1" x14ac:dyDescent="0.3">
      <c r="A64" s="106" t="s">
        <v>138</v>
      </c>
      <c r="B64" s="181">
        <v>16183078</v>
      </c>
      <c r="C64" s="210">
        <v>29314</v>
      </c>
      <c r="D64" s="188">
        <f t="shared" si="1"/>
        <v>16212392</v>
      </c>
      <c r="E64" s="103"/>
      <c r="F64" s="103"/>
      <c r="G64" s="188">
        <f>+D64+E64-F64</f>
        <v>16212392</v>
      </c>
      <c r="H64" s="251">
        <v>15355621.029999999</v>
      </c>
    </row>
    <row r="65" spans="1:9" s="102" customFormat="1" ht="17.25" customHeight="1" x14ac:dyDescent="0.3">
      <c r="A65" s="89"/>
      <c r="B65" s="182"/>
      <c r="C65" s="211"/>
      <c r="D65" s="189"/>
      <c r="E65" s="101"/>
      <c r="F65" s="101"/>
      <c r="G65" s="189"/>
      <c r="H65" s="252"/>
    </row>
    <row r="66" spans="1:9" ht="17.25" customHeight="1" thickBot="1" x14ac:dyDescent="0.35">
      <c r="A66" s="113" t="s">
        <v>139</v>
      </c>
      <c r="B66" s="183">
        <f>B63-B64+B65</f>
        <v>28078599</v>
      </c>
      <c r="C66" s="212">
        <f>C63-C64</f>
        <v>324101</v>
      </c>
      <c r="D66" s="190">
        <f>D63-D64+D65</f>
        <v>28402700</v>
      </c>
      <c r="E66" s="114">
        <f>E63-E64+E65</f>
        <v>0</v>
      </c>
      <c r="F66" s="114">
        <f>F63-F64+F65</f>
        <v>0</v>
      </c>
      <c r="G66" s="190">
        <f>G63-G64+G65</f>
        <v>28402700</v>
      </c>
      <c r="H66" s="169">
        <v>46485815.639999971</v>
      </c>
      <c r="I66" s="100"/>
    </row>
    <row r="67" spans="1:9" x14ac:dyDescent="0.3">
      <c r="B67" s="97"/>
      <c r="G67" s="100"/>
      <c r="H67" s="100">
        <v>0</v>
      </c>
    </row>
    <row r="68" spans="1:9" x14ac:dyDescent="0.3">
      <c r="E68" s="97">
        <f>E18+E31+E63</f>
        <v>571519</v>
      </c>
      <c r="F68" s="97">
        <f>F18+F31+F63</f>
        <v>571519</v>
      </c>
      <c r="H68" s="95">
        <v>341664513.36000001</v>
      </c>
    </row>
  </sheetData>
  <mergeCells count="1">
    <mergeCell ref="A1:H1"/>
  </mergeCells>
  <pageMargins left="0.7" right="0.7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8"/>
  <sheetViews>
    <sheetView topLeftCell="A52" zoomScale="89" zoomScaleNormal="89" workbookViewId="0">
      <selection activeCell="C50" sqref="C50"/>
    </sheetView>
  </sheetViews>
  <sheetFormatPr defaultColWidth="9.1796875" defaultRowHeight="12" x14ac:dyDescent="0.3"/>
  <cols>
    <col min="1" max="1" width="70.7265625" style="95" customWidth="1"/>
    <col min="2" max="3" width="17.7265625" style="95" customWidth="1"/>
    <col min="4" max="4" width="16" style="95" customWidth="1"/>
    <col min="5" max="5" width="14.81640625" style="97" customWidth="1"/>
    <col min="6" max="6" width="16.453125" style="97" customWidth="1"/>
    <col min="7" max="7" width="16" style="95" customWidth="1"/>
    <col min="8" max="8" width="16" style="95" hidden="1" customWidth="1"/>
    <col min="9" max="9" width="16.1796875" style="305" customWidth="1"/>
    <col min="10" max="10" width="15.453125" style="95" customWidth="1"/>
    <col min="11" max="11" width="12.26953125" style="95" bestFit="1" customWidth="1"/>
    <col min="12" max="12" width="13" style="95" bestFit="1" customWidth="1"/>
    <col min="13" max="16384" width="9.1796875" style="95"/>
  </cols>
  <sheetData>
    <row r="1" spans="1:9" s="17" customFormat="1" ht="29.25" customHeight="1" thickBot="1" x14ac:dyDescent="0.3">
      <c r="A1" s="597" t="s">
        <v>155</v>
      </c>
      <c r="B1" s="598"/>
      <c r="C1" s="598"/>
      <c r="D1" s="598"/>
      <c r="E1" s="598"/>
      <c r="F1" s="598"/>
      <c r="G1" s="598"/>
      <c r="H1" s="598"/>
      <c r="I1" s="601"/>
    </row>
    <row r="2" spans="1:9" ht="45" customHeight="1" thickBot="1" x14ac:dyDescent="0.35">
      <c r="A2" s="197" t="s">
        <v>76</v>
      </c>
      <c r="B2" s="29" t="s">
        <v>71</v>
      </c>
      <c r="C2" s="198" t="s">
        <v>72</v>
      </c>
      <c r="D2" s="152" t="s">
        <v>73</v>
      </c>
      <c r="E2" s="133" t="s">
        <v>156</v>
      </c>
      <c r="F2" s="133" t="s">
        <v>162</v>
      </c>
      <c r="G2" s="152" t="s">
        <v>163</v>
      </c>
      <c r="H2" s="134" t="s">
        <v>154</v>
      </c>
      <c r="I2" s="134" t="s">
        <v>161</v>
      </c>
    </row>
    <row r="3" spans="1:9" ht="17.25" customHeight="1" x14ac:dyDescent="0.3">
      <c r="A3" s="192" t="s">
        <v>77</v>
      </c>
      <c r="B3" s="318"/>
      <c r="C3" s="321"/>
      <c r="D3" s="194"/>
      <c r="E3" s="195"/>
      <c r="F3" s="195"/>
      <c r="G3" s="194"/>
      <c r="H3" s="196"/>
      <c r="I3" s="196"/>
    </row>
    <row r="4" spans="1:9" ht="17.25" customHeight="1" x14ac:dyDescent="0.3">
      <c r="A4" s="107" t="s">
        <v>78</v>
      </c>
      <c r="B4" s="310">
        <f>B5+B6+B7</f>
        <v>144397240.03</v>
      </c>
      <c r="C4" s="322">
        <v>19188</v>
      </c>
      <c r="D4" s="184">
        <f>+B4+C4</f>
        <v>144416428.03</v>
      </c>
      <c r="G4" s="191">
        <f t="shared" ref="G4:G17" si="0">+D4+E4-F4</f>
        <v>144416428.03</v>
      </c>
      <c r="H4" s="253">
        <v>143994941.55000001</v>
      </c>
      <c r="I4" s="253">
        <v>159060097</v>
      </c>
    </row>
    <row r="5" spans="1:9" ht="17.25" hidden="1" customHeight="1" x14ac:dyDescent="0.3">
      <c r="A5" s="108" t="s">
        <v>79</v>
      </c>
      <c r="B5" s="319">
        <v>95173968.549999997</v>
      </c>
      <c r="C5" s="323"/>
      <c r="D5" s="184">
        <f t="shared" ref="D5:D64" si="1">+B5+C5</f>
        <v>95173968.549999997</v>
      </c>
      <c r="G5" s="191">
        <f t="shared" si="0"/>
        <v>95173968.549999997</v>
      </c>
      <c r="H5" s="253">
        <v>101849558.77</v>
      </c>
      <c r="I5" s="253">
        <v>102920474</v>
      </c>
    </row>
    <row r="6" spans="1:9" ht="17.25" hidden="1" customHeight="1" x14ac:dyDescent="0.3">
      <c r="A6" s="108" t="s">
        <v>80</v>
      </c>
      <c r="B6" s="319">
        <v>10362257.310000001</v>
      </c>
      <c r="C6" s="323"/>
      <c r="D6" s="184">
        <f t="shared" si="1"/>
        <v>10362257.310000001</v>
      </c>
      <c r="G6" s="191">
        <f t="shared" si="0"/>
        <v>10362257.310000001</v>
      </c>
      <c r="H6" s="253">
        <v>10699920.029999999</v>
      </c>
      <c r="I6" s="253">
        <v>12431042</v>
      </c>
    </row>
    <row r="7" spans="1:9" ht="17.25" hidden="1" customHeight="1" x14ac:dyDescent="0.3">
      <c r="A7" s="108" t="s">
        <v>81</v>
      </c>
      <c r="B7" s="319">
        <v>38861014.170000002</v>
      </c>
      <c r="C7" s="323"/>
      <c r="D7" s="184">
        <f t="shared" si="1"/>
        <v>38861014.170000002</v>
      </c>
      <c r="G7" s="191">
        <f t="shared" si="0"/>
        <v>38861014.170000002</v>
      </c>
      <c r="H7" s="253">
        <v>31094126.75</v>
      </c>
      <c r="I7" s="253">
        <v>42929616</v>
      </c>
    </row>
    <row r="8" spans="1:9" ht="17.25" customHeight="1" x14ac:dyDescent="0.3">
      <c r="A8" s="107" t="s">
        <v>82</v>
      </c>
      <c r="B8" s="310">
        <f>B9+B10+B11+B12+B13+B14+B15</f>
        <v>368292879.13999999</v>
      </c>
      <c r="C8" s="324">
        <f>C9+C10+C11+C12+C13+C14+C15</f>
        <v>0</v>
      </c>
      <c r="D8" s="184">
        <f t="shared" si="1"/>
        <v>368292879.13999999</v>
      </c>
      <c r="G8" s="191">
        <f t="shared" si="0"/>
        <v>368292879.13999999</v>
      </c>
      <c r="H8" s="253">
        <v>333092651.69999999</v>
      </c>
      <c r="I8" s="253">
        <v>346162078</v>
      </c>
    </row>
    <row r="9" spans="1:9" ht="17.25" hidden="1" customHeight="1" x14ac:dyDescent="0.3">
      <c r="A9" s="108" t="s">
        <v>83</v>
      </c>
      <c r="B9" s="320">
        <v>352310773.5</v>
      </c>
      <c r="C9" s="323"/>
      <c r="D9" s="184">
        <f t="shared" si="1"/>
        <v>352310773.5</v>
      </c>
      <c r="G9" s="191">
        <f t="shared" si="0"/>
        <v>352310773.5</v>
      </c>
      <c r="H9" s="253">
        <v>320612212.55000001</v>
      </c>
      <c r="I9" s="253">
        <v>331124200</v>
      </c>
    </row>
    <row r="10" spans="1:9" ht="17.25" hidden="1" customHeight="1" x14ac:dyDescent="0.3">
      <c r="A10" s="108" t="s">
        <v>84</v>
      </c>
      <c r="B10" s="320">
        <v>5727720.0899999999</v>
      </c>
      <c r="C10" s="323"/>
      <c r="D10" s="184">
        <f t="shared" si="1"/>
        <v>5727720.0899999999</v>
      </c>
      <c r="G10" s="191">
        <f t="shared" si="0"/>
        <v>5727720.0899999999</v>
      </c>
      <c r="H10" s="253">
        <v>4353308.88</v>
      </c>
      <c r="I10" s="253">
        <v>5321866</v>
      </c>
    </row>
    <row r="11" spans="1:9" ht="17.25" hidden="1" customHeight="1" x14ac:dyDescent="0.3">
      <c r="A11" s="108" t="s">
        <v>85</v>
      </c>
      <c r="B11" s="320">
        <v>112749.31</v>
      </c>
      <c r="C11" s="323"/>
      <c r="D11" s="184">
        <f t="shared" si="1"/>
        <v>112749.31</v>
      </c>
      <c r="G11" s="191">
        <f t="shared" si="0"/>
        <v>112749.31</v>
      </c>
      <c r="H11" s="253">
        <v>176979.68</v>
      </c>
      <c r="I11" s="253">
        <v>162591</v>
      </c>
    </row>
    <row r="12" spans="1:9" ht="17.25" hidden="1" customHeight="1" x14ac:dyDescent="0.3">
      <c r="A12" s="109" t="s">
        <v>86</v>
      </c>
      <c r="B12" s="320">
        <v>45322.49</v>
      </c>
      <c r="C12" s="323"/>
      <c r="D12" s="184">
        <f t="shared" si="1"/>
        <v>45322.49</v>
      </c>
      <c r="G12" s="191">
        <f t="shared" si="0"/>
        <v>45322.49</v>
      </c>
      <c r="H12" s="253">
        <v>172315.21</v>
      </c>
      <c r="I12" s="253">
        <v>53238</v>
      </c>
    </row>
    <row r="13" spans="1:9" ht="17.25" hidden="1" customHeight="1" x14ac:dyDescent="0.3">
      <c r="A13" s="108" t="s">
        <v>87</v>
      </c>
      <c r="B13" s="320">
        <v>111140.58</v>
      </c>
      <c r="C13" s="323"/>
      <c r="D13" s="184">
        <f t="shared" si="1"/>
        <v>111140.58</v>
      </c>
      <c r="G13" s="191">
        <f t="shared" si="0"/>
        <v>111140.58</v>
      </c>
      <c r="H13" s="253">
        <v>108015.85</v>
      </c>
      <c r="I13" s="253">
        <v>204389</v>
      </c>
    </row>
    <row r="14" spans="1:9" ht="17.25" hidden="1" customHeight="1" x14ac:dyDescent="0.3">
      <c r="A14" s="108" t="s">
        <v>88</v>
      </c>
      <c r="B14" s="320">
        <v>2803707.18</v>
      </c>
      <c r="C14" s="323"/>
      <c r="D14" s="184">
        <f t="shared" si="1"/>
        <v>2803707.18</v>
      </c>
      <c r="G14" s="191">
        <f t="shared" si="0"/>
        <v>2803707.18</v>
      </c>
      <c r="H14" s="253">
        <v>2715994.19</v>
      </c>
      <c r="I14" s="253">
        <v>2952838</v>
      </c>
    </row>
    <row r="15" spans="1:9" ht="17.25" hidden="1" customHeight="1" x14ac:dyDescent="0.3">
      <c r="A15" s="108" t="s">
        <v>89</v>
      </c>
      <c r="B15" s="320">
        <v>7181465.9900000002</v>
      </c>
      <c r="C15" s="323"/>
      <c r="D15" s="184">
        <f t="shared" si="1"/>
        <v>7181465.9900000002</v>
      </c>
      <c r="G15" s="191">
        <f t="shared" si="0"/>
        <v>7181465.9900000002</v>
      </c>
      <c r="H15" s="253">
        <v>4953825.34</v>
      </c>
      <c r="I15" s="253">
        <v>6342956</v>
      </c>
    </row>
    <row r="16" spans="1:9" s="99" customFormat="1" ht="17.25" customHeight="1" x14ac:dyDescent="0.3">
      <c r="A16" s="107" t="s">
        <v>90</v>
      </c>
      <c r="B16" s="311">
        <v>0</v>
      </c>
      <c r="C16" s="325">
        <v>0</v>
      </c>
      <c r="D16" s="184">
        <f t="shared" si="1"/>
        <v>0</v>
      </c>
      <c r="E16" s="98"/>
      <c r="F16" s="98"/>
      <c r="G16" s="191">
        <f t="shared" si="0"/>
        <v>0</v>
      </c>
      <c r="H16" s="253">
        <v>0</v>
      </c>
      <c r="I16" s="253">
        <v>0</v>
      </c>
    </row>
    <row r="17" spans="1:10" s="99" customFormat="1" ht="17.25" customHeight="1" x14ac:dyDescent="0.3">
      <c r="A17" s="107" t="s">
        <v>91</v>
      </c>
      <c r="B17" s="311">
        <v>16509669.880000001</v>
      </c>
      <c r="C17" s="325">
        <v>0</v>
      </c>
      <c r="D17" s="184">
        <f>+B17+C17</f>
        <v>16509669.880000001</v>
      </c>
      <c r="E17" s="98"/>
      <c r="F17" s="98"/>
      <c r="G17" s="191">
        <f t="shared" si="0"/>
        <v>16509669.880000001</v>
      </c>
      <c r="H17" s="253">
        <v>10945332.82</v>
      </c>
      <c r="I17" s="253">
        <v>14979201</v>
      </c>
    </row>
    <row r="18" spans="1:10" s="99" customFormat="1" ht="17.25" customHeight="1" x14ac:dyDescent="0.3">
      <c r="A18" s="107" t="s">
        <v>92</v>
      </c>
      <c r="B18" s="311">
        <v>25468034.02</v>
      </c>
      <c r="C18" s="325">
        <v>573572</v>
      </c>
      <c r="D18" s="184">
        <f>+B18+C18</f>
        <v>26041606.02</v>
      </c>
      <c r="E18" s="101">
        <v>14165.79</v>
      </c>
      <c r="F18" s="97">
        <f>415949.2+76714.18</f>
        <v>492663.38</v>
      </c>
      <c r="G18" s="191">
        <f>+D18-E18-F18</f>
        <v>25534776.850000001</v>
      </c>
      <c r="H18" s="253">
        <v>42037994.969999999</v>
      </c>
      <c r="I18" s="253">
        <v>31301272</v>
      </c>
      <c r="J18" s="119">
        <f>F18-E31</f>
        <v>0</v>
      </c>
    </row>
    <row r="19" spans="1:10" s="99" customFormat="1" ht="17.25" customHeight="1" x14ac:dyDescent="0.3">
      <c r="A19" s="107" t="s">
        <v>93</v>
      </c>
      <c r="B19" s="311">
        <v>0</v>
      </c>
      <c r="C19" s="325">
        <v>0</v>
      </c>
      <c r="D19" s="184">
        <f t="shared" si="1"/>
        <v>0</v>
      </c>
      <c r="E19" s="98"/>
      <c r="F19" s="98"/>
      <c r="G19" s="191">
        <f>+D19+E19-F19</f>
        <v>0</v>
      </c>
      <c r="H19" s="253">
        <v>0</v>
      </c>
      <c r="I19" s="253">
        <v>0</v>
      </c>
    </row>
    <row r="20" spans="1:10" s="99" customFormat="1" ht="17.25" customHeight="1" x14ac:dyDescent="0.3">
      <c r="A20" s="107" t="s">
        <v>94</v>
      </c>
      <c r="B20" s="311">
        <v>279136</v>
      </c>
      <c r="C20" s="325">
        <v>0</v>
      </c>
      <c r="D20" s="184">
        <f>+B20+C20</f>
        <v>279136</v>
      </c>
      <c r="E20" s="98"/>
      <c r="F20" s="98"/>
      <c r="G20" s="191">
        <f>+D20+E20-F20</f>
        <v>279136</v>
      </c>
      <c r="H20" s="253">
        <v>0</v>
      </c>
      <c r="I20" s="253">
        <v>513718</v>
      </c>
    </row>
    <row r="21" spans="1:10" ht="17.25" customHeight="1" x14ac:dyDescent="0.3">
      <c r="A21" s="110" t="s">
        <v>95</v>
      </c>
      <c r="B21" s="174">
        <f>B4+B8+B16+B17+B18+B19+B20</f>
        <v>554946959.06999993</v>
      </c>
      <c r="C21" s="204">
        <f>C4+C8+C16+C17+C18+C19+C20</f>
        <v>592760</v>
      </c>
      <c r="D21" s="185">
        <f>+B21+C21</f>
        <v>555539719.06999993</v>
      </c>
      <c r="E21" s="104">
        <f>SUM(E4:E20)</f>
        <v>14165.79</v>
      </c>
      <c r="F21" s="104">
        <f>SUM(F4:F20)</f>
        <v>492663.38</v>
      </c>
      <c r="G21" s="185">
        <f>+D21-E21-F21</f>
        <v>555032889.89999998</v>
      </c>
      <c r="H21" s="249">
        <v>530070921.03999996</v>
      </c>
      <c r="I21" s="249">
        <v>552016366</v>
      </c>
    </row>
    <row r="22" spans="1:10" ht="17.25" customHeight="1" x14ac:dyDescent="0.3">
      <c r="A22" s="106" t="s">
        <v>96</v>
      </c>
      <c r="B22" s="306"/>
      <c r="C22" s="307"/>
      <c r="D22" s="186">
        <f t="shared" si="1"/>
        <v>0</v>
      </c>
      <c r="E22" s="103"/>
      <c r="F22" s="103"/>
      <c r="G22" s="186">
        <f>+D22+E22-F22</f>
        <v>0</v>
      </c>
      <c r="H22" s="111">
        <v>0</v>
      </c>
      <c r="I22" s="111">
        <v>0</v>
      </c>
    </row>
    <row r="23" spans="1:10" ht="17.25" customHeight="1" x14ac:dyDescent="0.3">
      <c r="A23" s="107" t="s">
        <v>97</v>
      </c>
      <c r="B23" s="310">
        <f>B24+B30</f>
        <v>268447206.44</v>
      </c>
      <c r="C23" s="322">
        <v>366746</v>
      </c>
      <c r="D23" s="187">
        <f t="shared" si="1"/>
        <v>268813952.44</v>
      </c>
      <c r="G23" s="187">
        <f t="shared" ref="G23:G51" si="2">+D23-E23-F23</f>
        <v>268813952.44</v>
      </c>
      <c r="H23" s="250">
        <v>254547178.16000003</v>
      </c>
      <c r="I23" s="250">
        <v>270749949</v>
      </c>
    </row>
    <row r="24" spans="1:10" ht="17.25" customHeight="1" x14ac:dyDescent="0.3">
      <c r="A24" s="107" t="s">
        <v>98</v>
      </c>
      <c r="B24" s="310">
        <f>B25+B26+B27+B28+B29</f>
        <v>195155199.75</v>
      </c>
      <c r="C24" s="322">
        <f>C25+C26+C27+C28+C29</f>
        <v>0</v>
      </c>
      <c r="D24" s="187">
        <f t="shared" si="1"/>
        <v>195155199.75</v>
      </c>
      <c r="G24" s="187">
        <f t="shared" si="2"/>
        <v>195155199.75</v>
      </c>
      <c r="H24" s="250">
        <v>183576670.23000002</v>
      </c>
      <c r="I24" s="250">
        <v>197093922</v>
      </c>
    </row>
    <row r="25" spans="1:10" ht="17.25" hidden="1" customHeight="1" x14ac:dyDescent="0.3">
      <c r="A25" s="108" t="s">
        <v>99</v>
      </c>
      <c r="B25" s="320">
        <v>168644064.08000001</v>
      </c>
      <c r="C25" s="326"/>
      <c r="D25" s="187">
        <f t="shared" si="1"/>
        <v>168644064.08000001</v>
      </c>
      <c r="G25" s="187">
        <f t="shared" si="2"/>
        <v>168644064.08000001</v>
      </c>
      <c r="H25" s="250">
        <v>157692033.81999999</v>
      </c>
      <c r="I25" s="250">
        <v>170753841</v>
      </c>
    </row>
    <row r="26" spans="1:10" ht="17.25" hidden="1" customHeight="1" x14ac:dyDescent="0.3">
      <c r="A26" s="108" t="s">
        <v>100</v>
      </c>
      <c r="B26" s="320">
        <v>20748883.780000001</v>
      </c>
      <c r="C26" s="326"/>
      <c r="D26" s="187">
        <f t="shared" si="1"/>
        <v>20748883.780000001</v>
      </c>
      <c r="G26" s="187">
        <f t="shared" si="2"/>
        <v>20748883.780000001</v>
      </c>
      <c r="H26" s="250">
        <v>21021503.859999999</v>
      </c>
      <c r="I26" s="250">
        <v>20575409</v>
      </c>
    </row>
    <row r="27" spans="1:10" ht="17.25" hidden="1" customHeight="1" x14ac:dyDescent="0.3">
      <c r="A27" s="108" t="s">
        <v>101</v>
      </c>
      <c r="B27" s="320">
        <v>1693079.67</v>
      </c>
      <c r="C27" s="326"/>
      <c r="D27" s="187">
        <f t="shared" si="1"/>
        <v>1693079.67</v>
      </c>
      <c r="G27" s="187">
        <f t="shared" si="2"/>
        <v>1693079.67</v>
      </c>
      <c r="H27" s="250">
        <v>1695903.66</v>
      </c>
      <c r="I27" s="250">
        <v>1732627</v>
      </c>
    </row>
    <row r="28" spans="1:10" ht="17.25" hidden="1" customHeight="1" x14ac:dyDescent="0.3">
      <c r="A28" s="108" t="s">
        <v>102</v>
      </c>
      <c r="B28" s="320">
        <v>1077841</v>
      </c>
      <c r="C28" s="326"/>
      <c r="D28" s="187">
        <f t="shared" si="1"/>
        <v>1077841</v>
      </c>
      <c r="G28" s="187">
        <f t="shared" si="2"/>
        <v>1077841</v>
      </c>
      <c r="H28" s="250">
        <v>1137855.58</v>
      </c>
      <c r="I28" s="250">
        <v>1078921</v>
      </c>
    </row>
    <row r="29" spans="1:10" ht="17.25" hidden="1" customHeight="1" x14ac:dyDescent="0.3">
      <c r="A29" s="108" t="s">
        <v>103</v>
      </c>
      <c r="B29" s="320">
        <v>2991331.22</v>
      </c>
      <c r="C29" s="326"/>
      <c r="D29" s="187">
        <f t="shared" si="1"/>
        <v>2991331.22</v>
      </c>
      <c r="G29" s="187">
        <f t="shared" si="2"/>
        <v>2991331.22</v>
      </c>
      <c r="H29" s="250">
        <v>2029373.31</v>
      </c>
      <c r="I29" s="250">
        <v>2953124</v>
      </c>
    </row>
    <row r="30" spans="1:10" s="99" customFormat="1" ht="17.25" customHeight="1" x14ac:dyDescent="0.3">
      <c r="A30" s="107" t="s">
        <v>104</v>
      </c>
      <c r="B30" s="312">
        <v>73292006.689999998</v>
      </c>
      <c r="C30" s="327"/>
      <c r="D30" s="187">
        <f t="shared" si="1"/>
        <v>73292006.689999998</v>
      </c>
      <c r="E30" s="98"/>
      <c r="F30" s="98"/>
      <c r="G30" s="187">
        <f t="shared" si="2"/>
        <v>73292006.689999998</v>
      </c>
      <c r="H30" s="250">
        <v>70499628.930000007</v>
      </c>
      <c r="I30" s="250">
        <v>73209593</v>
      </c>
    </row>
    <row r="31" spans="1:10" s="99" customFormat="1" ht="17.25" customHeight="1" x14ac:dyDescent="0.3">
      <c r="A31" s="107" t="s">
        <v>105</v>
      </c>
      <c r="B31" s="313">
        <f>B32+B33+B34+B35+B36+B37+B38+B39+B40+B41+B42+B43</f>
        <v>190906135.22</v>
      </c>
      <c r="C31" s="322">
        <f>15503+380114+15595</f>
        <v>411212</v>
      </c>
      <c r="D31" s="187">
        <f t="shared" si="1"/>
        <v>191317347.22</v>
      </c>
      <c r="E31" s="97">
        <f>415949.2+76714.18</f>
        <v>492663.38</v>
      </c>
      <c r="F31" s="101">
        <v>14165.79</v>
      </c>
      <c r="G31" s="187">
        <f t="shared" si="2"/>
        <v>190810518.05000001</v>
      </c>
      <c r="H31" s="250">
        <v>183878398.08999997</v>
      </c>
      <c r="I31" s="250">
        <v>198164251</v>
      </c>
    </row>
    <row r="32" spans="1:10" ht="17.25" hidden="1" customHeight="1" x14ac:dyDescent="0.3">
      <c r="A32" s="108" t="s">
        <v>106</v>
      </c>
      <c r="B32" s="320">
        <v>69946760.840000004</v>
      </c>
      <c r="C32" s="326"/>
      <c r="D32" s="187">
        <f t="shared" si="1"/>
        <v>69946760.840000004</v>
      </c>
      <c r="G32" s="187">
        <f t="shared" si="2"/>
        <v>69946760.840000004</v>
      </c>
      <c r="H32" s="250">
        <v>63700255.829999998</v>
      </c>
      <c r="I32" s="250">
        <v>66045640</v>
      </c>
    </row>
    <row r="33" spans="1:9" ht="17.25" hidden="1" customHeight="1" x14ac:dyDescent="0.3">
      <c r="A33" s="108" t="s">
        <v>107</v>
      </c>
      <c r="B33" s="320">
        <v>20826595.120000001</v>
      </c>
      <c r="C33" s="326"/>
      <c r="D33" s="187">
        <f t="shared" si="1"/>
        <v>20826595.120000001</v>
      </c>
      <c r="G33" s="187">
        <f t="shared" si="2"/>
        <v>20826595.120000001</v>
      </c>
      <c r="H33" s="250">
        <v>19472289.210000001</v>
      </c>
      <c r="I33" s="250">
        <v>21650694</v>
      </c>
    </row>
    <row r="34" spans="1:9" ht="17.25" hidden="1" customHeight="1" x14ac:dyDescent="0.3">
      <c r="A34" s="109" t="s">
        <v>108</v>
      </c>
      <c r="B34" s="320">
        <v>1237481.26</v>
      </c>
      <c r="C34" s="326"/>
      <c r="D34" s="187">
        <f t="shared" si="1"/>
        <v>1237481.26</v>
      </c>
      <c r="G34" s="187">
        <f t="shared" si="2"/>
        <v>1237481.26</v>
      </c>
      <c r="H34" s="250">
        <v>513728.55</v>
      </c>
      <c r="I34" s="250">
        <v>298832</v>
      </c>
    </row>
    <row r="35" spans="1:9" ht="17.25" hidden="1" customHeight="1" x14ac:dyDescent="0.3">
      <c r="A35" s="108" t="s">
        <v>109</v>
      </c>
      <c r="B35" s="320">
        <v>11916458.060000001</v>
      </c>
      <c r="C35" s="326"/>
      <c r="D35" s="187">
        <f t="shared" si="1"/>
        <v>11916458.060000001</v>
      </c>
      <c r="G35" s="187">
        <f t="shared" si="2"/>
        <v>11916458.060000001</v>
      </c>
      <c r="H35" s="250">
        <v>7618265.4800000004</v>
      </c>
      <c r="I35" s="250">
        <v>15821865</v>
      </c>
    </row>
    <row r="36" spans="1:9" ht="17.25" hidden="1" customHeight="1" x14ac:dyDescent="0.3">
      <c r="A36" s="108" t="s">
        <v>110</v>
      </c>
      <c r="B36" s="320">
        <v>8785048.3599999994</v>
      </c>
      <c r="C36" s="326"/>
      <c r="D36" s="187">
        <f t="shared" si="1"/>
        <v>8785048.3599999994</v>
      </c>
      <c r="G36" s="187">
        <f t="shared" si="2"/>
        <v>8785048.3599999994</v>
      </c>
      <c r="H36" s="250">
        <v>8760385.7899999991</v>
      </c>
      <c r="I36" s="250">
        <v>9579548</v>
      </c>
    </row>
    <row r="37" spans="1:9" ht="17.25" hidden="1" customHeight="1" x14ac:dyDescent="0.3">
      <c r="A37" s="108" t="s">
        <v>111</v>
      </c>
      <c r="B37" s="320">
        <v>0</v>
      </c>
      <c r="C37" s="326"/>
      <c r="D37" s="187">
        <f t="shared" si="1"/>
        <v>0</v>
      </c>
      <c r="G37" s="187">
        <f t="shared" si="2"/>
        <v>0</v>
      </c>
      <c r="H37" s="250">
        <v>0</v>
      </c>
      <c r="I37" s="250">
        <v>0</v>
      </c>
    </row>
    <row r="38" spans="1:9" ht="17.25" hidden="1" customHeight="1" x14ac:dyDescent="0.3">
      <c r="A38" s="108" t="s">
        <v>112</v>
      </c>
      <c r="B38" s="320">
        <v>4773863.91</v>
      </c>
      <c r="C38" s="326"/>
      <c r="D38" s="187">
        <f t="shared" si="1"/>
        <v>4773863.91</v>
      </c>
      <c r="G38" s="187">
        <f t="shared" si="2"/>
        <v>4773863.91</v>
      </c>
      <c r="H38" s="250">
        <v>4203697.5999999996</v>
      </c>
      <c r="I38" s="250">
        <v>5208627</v>
      </c>
    </row>
    <row r="39" spans="1:9" ht="17.25" hidden="1" customHeight="1" x14ac:dyDescent="0.3">
      <c r="A39" s="108" t="s">
        <v>113</v>
      </c>
      <c r="B39" s="320">
        <v>56596369.509999998</v>
      </c>
      <c r="C39" s="326"/>
      <c r="D39" s="187">
        <f t="shared" si="1"/>
        <v>56596369.509999998</v>
      </c>
      <c r="G39" s="187">
        <f t="shared" si="2"/>
        <v>56596369.509999998</v>
      </c>
      <c r="H39" s="250">
        <v>62518495.869999997</v>
      </c>
      <c r="I39" s="250">
        <v>64086574</v>
      </c>
    </row>
    <row r="40" spans="1:9" ht="17.25" hidden="1" customHeight="1" x14ac:dyDescent="0.3">
      <c r="A40" s="108" t="s">
        <v>114</v>
      </c>
      <c r="B40" s="320">
        <v>2774323.27</v>
      </c>
      <c r="C40" s="326"/>
      <c r="D40" s="187">
        <f t="shared" si="1"/>
        <v>2774323.27</v>
      </c>
      <c r="G40" s="187">
        <f t="shared" si="2"/>
        <v>2774323.27</v>
      </c>
      <c r="H40" s="250">
        <v>2218451.23</v>
      </c>
      <c r="I40" s="250">
        <v>2926003</v>
      </c>
    </row>
    <row r="41" spans="1:9" ht="17.25" hidden="1" customHeight="1" x14ac:dyDescent="0.3">
      <c r="A41" s="108" t="s">
        <v>115</v>
      </c>
      <c r="B41" s="320">
        <v>0</v>
      </c>
      <c r="C41" s="326"/>
      <c r="D41" s="187">
        <f t="shared" si="1"/>
        <v>0</v>
      </c>
      <c r="G41" s="187">
        <f t="shared" si="2"/>
        <v>0</v>
      </c>
      <c r="H41" s="250">
        <v>0</v>
      </c>
      <c r="I41" s="250">
        <v>0</v>
      </c>
    </row>
    <row r="42" spans="1:9" ht="17.25" hidden="1" customHeight="1" x14ac:dyDescent="0.3">
      <c r="A42" s="108" t="s">
        <v>116</v>
      </c>
      <c r="B42" s="320">
        <v>8057691.3499999996</v>
      </c>
      <c r="C42" s="326"/>
      <c r="D42" s="187">
        <f t="shared" si="1"/>
        <v>8057691.3499999996</v>
      </c>
      <c r="G42" s="187">
        <f t="shared" si="2"/>
        <v>8057691.3499999996</v>
      </c>
      <c r="H42" s="250">
        <v>7598588.3700000001</v>
      </c>
      <c r="I42" s="250">
        <v>6443063</v>
      </c>
    </row>
    <row r="43" spans="1:9" ht="17.25" hidden="1" customHeight="1" x14ac:dyDescent="0.3">
      <c r="A43" s="108" t="s">
        <v>117</v>
      </c>
      <c r="B43" s="320">
        <v>5991543.54</v>
      </c>
      <c r="C43" s="326"/>
      <c r="D43" s="187">
        <f t="shared" si="1"/>
        <v>5991543.54</v>
      </c>
      <c r="G43" s="187">
        <f t="shared" si="2"/>
        <v>5991543.54</v>
      </c>
      <c r="H43" s="250">
        <v>7441963.1600000001</v>
      </c>
      <c r="I43" s="250">
        <v>6009965</v>
      </c>
    </row>
    <row r="44" spans="1:9" s="99" customFormat="1" ht="17.25" customHeight="1" x14ac:dyDescent="0.3">
      <c r="A44" s="107" t="s">
        <v>118</v>
      </c>
      <c r="B44" s="310">
        <f>B45+B46+B47+B48</f>
        <v>23473136.32</v>
      </c>
      <c r="C44" s="322">
        <v>60937</v>
      </c>
      <c r="D44" s="187">
        <f t="shared" si="1"/>
        <v>23534073.32</v>
      </c>
      <c r="E44" s="98"/>
      <c r="F44" s="98"/>
      <c r="G44" s="187">
        <f t="shared" si="2"/>
        <v>23534073.32</v>
      </c>
      <c r="H44" s="250">
        <v>22406633.130000003</v>
      </c>
      <c r="I44" s="250">
        <v>23643327</v>
      </c>
    </row>
    <row r="45" spans="1:9" ht="17.25" hidden="1" customHeight="1" x14ac:dyDescent="0.3">
      <c r="A45" s="108" t="s">
        <v>119</v>
      </c>
      <c r="B45" s="320">
        <v>455707.66</v>
      </c>
      <c r="C45" s="326"/>
      <c r="D45" s="187">
        <f t="shared" si="1"/>
        <v>455707.66</v>
      </c>
      <c r="G45" s="187">
        <f t="shared" si="2"/>
        <v>455707.66</v>
      </c>
      <c r="H45" s="250">
        <v>237384.17</v>
      </c>
      <c r="I45" s="250">
        <v>371270</v>
      </c>
    </row>
    <row r="46" spans="1:9" ht="17.25" hidden="1" customHeight="1" x14ac:dyDescent="0.3">
      <c r="A46" s="108" t="s">
        <v>120</v>
      </c>
      <c r="B46" s="320">
        <v>23017428.66</v>
      </c>
      <c r="C46" s="326"/>
      <c r="D46" s="187">
        <f t="shared" si="1"/>
        <v>23017428.66</v>
      </c>
      <c r="G46" s="187">
        <f t="shared" si="2"/>
        <v>23017428.66</v>
      </c>
      <c r="H46" s="250">
        <v>22082568.960000001</v>
      </c>
      <c r="I46" s="250">
        <v>23193200</v>
      </c>
    </row>
    <row r="47" spans="1:9" ht="17.25" hidden="1" customHeight="1" x14ac:dyDescent="0.3">
      <c r="A47" s="108" t="s">
        <v>121</v>
      </c>
      <c r="B47" s="308">
        <v>0</v>
      </c>
      <c r="C47" s="326"/>
      <c r="D47" s="187">
        <f t="shared" si="1"/>
        <v>0</v>
      </c>
      <c r="G47" s="187">
        <f t="shared" si="2"/>
        <v>0</v>
      </c>
      <c r="H47" s="250">
        <v>0</v>
      </c>
      <c r="I47" s="250">
        <v>0</v>
      </c>
    </row>
    <row r="48" spans="1:9" ht="17.25" hidden="1" customHeight="1" x14ac:dyDescent="0.3">
      <c r="A48" s="108" t="s">
        <v>122</v>
      </c>
      <c r="B48" s="308">
        <v>0</v>
      </c>
      <c r="C48" s="326"/>
      <c r="D48" s="187">
        <f t="shared" si="1"/>
        <v>0</v>
      </c>
      <c r="G48" s="187">
        <f t="shared" si="2"/>
        <v>0</v>
      </c>
      <c r="H48" s="250">
        <v>0</v>
      </c>
      <c r="I48" s="250">
        <v>0</v>
      </c>
    </row>
    <row r="49" spans="1:12" s="99" customFormat="1" ht="17.25" customHeight="1" x14ac:dyDescent="0.3">
      <c r="A49" s="107" t="s">
        <v>123</v>
      </c>
      <c r="B49" s="339">
        <v>16421716.529999999</v>
      </c>
      <c r="C49" s="327"/>
      <c r="D49" s="187">
        <f t="shared" si="1"/>
        <v>16421716.529999999</v>
      </c>
      <c r="E49" s="98"/>
      <c r="F49" s="98"/>
      <c r="G49" s="187">
        <f t="shared" si="2"/>
        <v>16421716.529999999</v>
      </c>
      <c r="H49" s="250">
        <v>26335278.77</v>
      </c>
      <c r="I49" s="250">
        <v>26563370</v>
      </c>
      <c r="J49" s="119"/>
    </row>
    <row r="50" spans="1:12" s="99" customFormat="1" ht="17.25" customHeight="1" x14ac:dyDescent="0.3">
      <c r="A50" s="107" t="s">
        <v>124</v>
      </c>
      <c r="B50" s="339">
        <v>1861536.49</v>
      </c>
      <c r="C50" s="327">
        <v>18767</v>
      </c>
      <c r="D50" s="187">
        <f t="shared" si="1"/>
        <v>1880303.49</v>
      </c>
      <c r="E50" s="98"/>
      <c r="F50" s="98"/>
      <c r="G50" s="187">
        <f t="shared" si="2"/>
        <v>1880303.49</v>
      </c>
      <c r="H50" s="250">
        <v>1400261.86</v>
      </c>
      <c r="I50" s="250">
        <v>1510006</v>
      </c>
    </row>
    <row r="51" spans="1:12" ht="17.25" customHeight="1" x14ac:dyDescent="0.3">
      <c r="A51" s="110" t="s">
        <v>125</v>
      </c>
      <c r="B51" s="174">
        <f>B23+B31+B44+B49+B50</f>
        <v>501109730.99999994</v>
      </c>
      <c r="C51" s="204">
        <f>C23+C31+C44+C49+C50</f>
        <v>857662</v>
      </c>
      <c r="D51" s="185">
        <f>+B51+C51</f>
        <v>501967392.99999994</v>
      </c>
      <c r="E51" s="104">
        <f>SUM(E23:E50)</f>
        <v>492663.38</v>
      </c>
      <c r="F51" s="104">
        <f>SUM(F23:F50)</f>
        <v>14165.79</v>
      </c>
      <c r="G51" s="185">
        <f t="shared" si="2"/>
        <v>501460563.82999992</v>
      </c>
      <c r="H51" s="249">
        <v>488567750.00999999</v>
      </c>
      <c r="I51" s="249">
        <v>520630903</v>
      </c>
      <c r="J51" s="100"/>
      <c r="K51" s="100"/>
      <c r="L51" s="100"/>
    </row>
    <row r="52" spans="1:12" ht="17.25" customHeight="1" x14ac:dyDescent="0.3">
      <c r="A52" s="112" t="s">
        <v>126</v>
      </c>
      <c r="B52" s="174">
        <f>B21-B51</f>
        <v>53837228.069999993</v>
      </c>
      <c r="C52" s="204">
        <f>C21-C51</f>
        <v>-264902</v>
      </c>
      <c r="D52" s="185">
        <f>+B52+C52</f>
        <v>53572326.069999993</v>
      </c>
      <c r="E52" s="104">
        <f>E21-E51</f>
        <v>-478497.59</v>
      </c>
      <c r="F52" s="104">
        <f>F21-F51</f>
        <v>478497.59</v>
      </c>
      <c r="G52" s="185">
        <f>+G21-G51</f>
        <v>53572326.070000052</v>
      </c>
      <c r="H52" s="249">
        <v>41503171.029999971</v>
      </c>
      <c r="I52" s="249">
        <v>31385463</v>
      </c>
      <c r="J52" s="100"/>
    </row>
    <row r="53" spans="1:12" ht="17.25" customHeight="1" x14ac:dyDescent="0.3">
      <c r="A53" s="106" t="s">
        <v>127</v>
      </c>
      <c r="B53" s="314">
        <f>+B54+B55+B56</f>
        <v>-124916.63</v>
      </c>
      <c r="C53" s="328">
        <f>+C54+C55+C56</f>
        <v>33</v>
      </c>
      <c r="D53" s="188">
        <f t="shared" si="1"/>
        <v>-124883.63</v>
      </c>
      <c r="E53" s="103"/>
      <c r="F53" s="103"/>
      <c r="G53" s="188">
        <f t="shared" ref="G53:G62" si="3">+D53+E53-F53</f>
        <v>-124883.63</v>
      </c>
      <c r="H53" s="251">
        <v>-427106.1</v>
      </c>
      <c r="I53" s="251">
        <v>-125654</v>
      </c>
      <c r="J53" s="100"/>
    </row>
    <row r="54" spans="1:12" ht="17.25" customHeight="1" x14ac:dyDescent="0.3">
      <c r="A54" s="108" t="s">
        <v>128</v>
      </c>
      <c r="B54" s="320">
        <v>17163.86</v>
      </c>
      <c r="C54" s="329">
        <v>60</v>
      </c>
      <c r="D54" s="189">
        <f t="shared" si="1"/>
        <v>17223.86</v>
      </c>
      <c r="G54" s="189">
        <f t="shared" si="3"/>
        <v>17223.86</v>
      </c>
      <c r="H54" s="252">
        <v>11314.96</v>
      </c>
      <c r="I54" s="252">
        <v>20455</v>
      </c>
    </row>
    <row r="55" spans="1:12" ht="17.25" customHeight="1" x14ac:dyDescent="0.3">
      <c r="A55" s="108" t="s">
        <v>171</v>
      </c>
      <c r="B55" s="320">
        <v>-135659.26</v>
      </c>
      <c r="C55" s="329">
        <v>-27</v>
      </c>
      <c r="D55" s="189">
        <f t="shared" si="1"/>
        <v>-135686.26</v>
      </c>
      <c r="G55" s="189">
        <f t="shared" si="3"/>
        <v>-135686.26</v>
      </c>
      <c r="H55" s="252">
        <v>-436968.69</v>
      </c>
      <c r="I55" s="252">
        <v>-143694</v>
      </c>
    </row>
    <row r="56" spans="1:12" ht="17.25" customHeight="1" x14ac:dyDescent="0.3">
      <c r="A56" s="108" t="s">
        <v>130</v>
      </c>
      <c r="B56" s="320">
        <v>-6421.23</v>
      </c>
      <c r="C56" s="329"/>
      <c r="D56" s="189">
        <f t="shared" si="1"/>
        <v>-6421.23</v>
      </c>
      <c r="G56" s="189">
        <f t="shared" si="3"/>
        <v>-6421.23</v>
      </c>
      <c r="H56" s="252">
        <v>-1452.37</v>
      </c>
      <c r="I56" s="252">
        <v>-2415</v>
      </c>
    </row>
    <row r="57" spans="1:12" s="99" customFormat="1" ht="17.25" customHeight="1" x14ac:dyDescent="0.3">
      <c r="A57" s="106" t="s">
        <v>131</v>
      </c>
      <c r="B57" s="315">
        <f>B58+B59</f>
        <v>9611.65</v>
      </c>
      <c r="C57" s="330">
        <v>0</v>
      </c>
      <c r="D57" s="188">
        <f t="shared" si="1"/>
        <v>9611.65</v>
      </c>
      <c r="E57" s="105"/>
      <c r="F57" s="105"/>
      <c r="G57" s="188">
        <f t="shared" si="3"/>
        <v>9611.65</v>
      </c>
      <c r="H57" s="251">
        <v>-10451.18</v>
      </c>
      <c r="I57" s="251">
        <v>17468</v>
      </c>
    </row>
    <row r="58" spans="1:12" ht="17.25" customHeight="1" x14ac:dyDescent="0.3">
      <c r="A58" s="108" t="s">
        <v>132</v>
      </c>
      <c r="B58" s="316">
        <v>9611.65</v>
      </c>
      <c r="C58" s="329">
        <v>0</v>
      </c>
      <c r="D58" s="189">
        <f t="shared" si="1"/>
        <v>9611.65</v>
      </c>
      <c r="G58" s="189">
        <f t="shared" si="3"/>
        <v>9611.65</v>
      </c>
      <c r="H58" s="252">
        <v>0</v>
      </c>
      <c r="I58" s="252">
        <v>17468</v>
      </c>
    </row>
    <row r="59" spans="1:12" ht="17.25" customHeight="1" x14ac:dyDescent="0.3">
      <c r="A59" s="108" t="s">
        <v>133</v>
      </c>
      <c r="B59" s="316">
        <v>0</v>
      </c>
      <c r="C59" s="329">
        <v>0</v>
      </c>
      <c r="D59" s="189">
        <f t="shared" si="1"/>
        <v>0</v>
      </c>
      <c r="G59" s="189">
        <f t="shared" si="3"/>
        <v>0</v>
      </c>
      <c r="H59" s="252">
        <v>-10451.18</v>
      </c>
      <c r="I59" s="252">
        <v>0</v>
      </c>
    </row>
    <row r="60" spans="1:12" s="99" customFormat="1" ht="17.25" customHeight="1" x14ac:dyDescent="0.3">
      <c r="A60" s="106" t="s">
        <v>134</v>
      </c>
      <c r="B60" s="314">
        <f>B61+B62</f>
        <v>34323523.109999999</v>
      </c>
      <c r="C60" s="328">
        <f>C61+C62</f>
        <v>0</v>
      </c>
      <c r="D60" s="188">
        <f t="shared" si="1"/>
        <v>34323523.109999999</v>
      </c>
      <c r="E60" s="105"/>
      <c r="F60" s="105"/>
      <c r="G60" s="188">
        <f t="shared" si="3"/>
        <v>34323523.109999999</v>
      </c>
      <c r="H60" s="251">
        <v>20775822.919999998</v>
      </c>
      <c r="I60" s="251">
        <v>13337815</v>
      </c>
    </row>
    <row r="61" spans="1:12" ht="17.25" customHeight="1" x14ac:dyDescent="0.3">
      <c r="A61" s="108" t="s">
        <v>135</v>
      </c>
      <c r="B61" s="320">
        <v>34678132.950000003</v>
      </c>
      <c r="C61" s="309"/>
      <c r="D61" s="189">
        <f t="shared" si="1"/>
        <v>34678132.950000003</v>
      </c>
      <c r="G61" s="189">
        <f t="shared" si="3"/>
        <v>34678132.950000003</v>
      </c>
      <c r="H61" s="252">
        <v>22085746.579999998</v>
      </c>
      <c r="I61" s="252">
        <v>13861089</v>
      </c>
    </row>
    <row r="62" spans="1:12" ht="17.25" customHeight="1" x14ac:dyDescent="0.3">
      <c r="A62" s="108" t="s">
        <v>136</v>
      </c>
      <c r="B62" s="320">
        <v>-354609.84</v>
      </c>
      <c r="C62" s="309"/>
      <c r="D62" s="189">
        <f t="shared" si="1"/>
        <v>-354609.84</v>
      </c>
      <c r="G62" s="189">
        <f t="shared" si="3"/>
        <v>-354609.84</v>
      </c>
      <c r="H62" s="252">
        <v>-1309923.6599999999</v>
      </c>
      <c r="I62" s="252">
        <v>-523274</v>
      </c>
    </row>
    <row r="63" spans="1:12" ht="17.25" customHeight="1" x14ac:dyDescent="0.3">
      <c r="A63" s="107" t="s">
        <v>137</v>
      </c>
      <c r="B63" s="311">
        <f>B52+B53+B57+B60</f>
        <v>88045446.199999988</v>
      </c>
      <c r="C63" s="325">
        <f>C52+C53+C57+C60</f>
        <v>-264869</v>
      </c>
      <c r="D63" s="189">
        <f>+B63+C63</f>
        <v>87780577.199999988</v>
      </c>
      <c r="G63" s="189">
        <f>G52+G53+G57+G60</f>
        <v>87780577.200000048</v>
      </c>
      <c r="H63" s="252">
        <v>61841436.669999972</v>
      </c>
      <c r="I63" s="252">
        <v>44615092</v>
      </c>
    </row>
    <row r="64" spans="1:12" ht="17.25" customHeight="1" x14ac:dyDescent="0.3">
      <c r="A64" s="106" t="s">
        <v>138</v>
      </c>
      <c r="B64" s="315">
        <v>16169256.689999999</v>
      </c>
      <c r="C64" s="330">
        <v>-8374</v>
      </c>
      <c r="D64" s="188">
        <f t="shared" si="1"/>
        <v>16160882.689999999</v>
      </c>
      <c r="E64" s="103"/>
      <c r="F64" s="103"/>
      <c r="G64" s="188">
        <f>+D64+E64-F64</f>
        <v>16160882.689999999</v>
      </c>
      <c r="H64" s="251">
        <v>15355621.029999999</v>
      </c>
      <c r="I64" s="251">
        <v>16212392</v>
      </c>
    </row>
    <row r="65" spans="1:9" s="102" customFormat="1" ht="17.25" customHeight="1" x14ac:dyDescent="0.3">
      <c r="A65" s="89"/>
      <c r="B65" s="317"/>
      <c r="C65" s="331"/>
      <c r="D65" s="189"/>
      <c r="E65" s="101"/>
      <c r="F65" s="101"/>
      <c r="G65" s="189"/>
      <c r="H65" s="252"/>
      <c r="I65" s="252"/>
    </row>
    <row r="66" spans="1:9" ht="17.25" customHeight="1" thickBot="1" x14ac:dyDescent="0.35">
      <c r="A66" s="113" t="s">
        <v>139</v>
      </c>
      <c r="B66" s="183">
        <f>B63-B64+B65</f>
        <v>71876189.50999999</v>
      </c>
      <c r="C66" s="212">
        <f>C63-C64</f>
        <v>-256495</v>
      </c>
      <c r="D66" s="190">
        <f>D63-D64+D65</f>
        <v>71619694.50999999</v>
      </c>
      <c r="E66" s="114">
        <f>E63-E64+E65</f>
        <v>0</v>
      </c>
      <c r="F66" s="114">
        <f>F63-F64+F65</f>
        <v>0</v>
      </c>
      <c r="G66" s="190">
        <f>G63-G64+G65</f>
        <v>71619694.51000005</v>
      </c>
      <c r="H66" s="169">
        <v>46485815.639999971</v>
      </c>
      <c r="I66" s="169">
        <v>28402700</v>
      </c>
    </row>
    <row r="67" spans="1:9" x14ac:dyDescent="0.3">
      <c r="B67" s="97"/>
      <c r="G67" s="100"/>
      <c r="H67" s="100">
        <v>0</v>
      </c>
    </row>
    <row r="68" spans="1:9" x14ac:dyDescent="0.3">
      <c r="E68" s="97">
        <f>E18+E31+E63</f>
        <v>506829.17</v>
      </c>
      <c r="F68" s="97">
        <f>F18+F31+F63</f>
        <v>506829.17</v>
      </c>
      <c r="H68" s="95">
        <v>341664513.36000001</v>
      </c>
    </row>
  </sheetData>
  <mergeCells count="1">
    <mergeCell ref="A1:I1"/>
  </mergeCells>
  <pageMargins left="0.7" right="0.7" top="0.75" bottom="0.75" header="0.3" footer="0.3"/>
  <pageSetup paperSize="8" scale="98" fitToHeight="0" orientation="landscape" r:id="rId1"/>
  <ignoredErrors>
    <ignoredError sqref="G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10FE-8689-4B02-AD6E-EC730AB890E1}">
  <dimension ref="A1:M68"/>
  <sheetViews>
    <sheetView view="pageBreakPreview" zoomScale="91" zoomScaleNormal="87" zoomScaleSheetLayoutView="91" workbookViewId="0">
      <selection sqref="A1:XFD1048576"/>
    </sheetView>
  </sheetViews>
  <sheetFormatPr defaultColWidth="9.1796875" defaultRowHeight="18.5" x14ac:dyDescent="0.45"/>
  <cols>
    <col min="1" max="1" width="70.7265625" style="456" customWidth="1"/>
    <col min="2" max="3" width="18.453125" style="456" customWidth="1"/>
    <col min="4" max="4" width="18.453125" style="520" customWidth="1"/>
    <col min="5" max="5" width="14.81640625" style="520" customWidth="1"/>
    <col min="6" max="6" width="16.453125" style="520" customWidth="1"/>
    <col min="7" max="8" width="19.7265625" style="456" customWidth="1"/>
    <col min="9" max="9" width="16" style="456" hidden="1" customWidth="1"/>
    <col min="10" max="10" width="16.1796875" style="521" hidden="1" customWidth="1"/>
    <col min="11" max="11" width="15.453125" style="456" customWidth="1"/>
    <col min="12" max="12" width="12.26953125" style="456" bestFit="1" customWidth="1"/>
    <col min="13" max="13" width="13" style="456" bestFit="1" customWidth="1"/>
    <col min="14" max="16384" width="9.1796875" style="456"/>
  </cols>
  <sheetData>
    <row r="1" spans="1:10" s="345" customFormat="1" ht="29.25" customHeight="1" thickBot="1" x14ac:dyDescent="0.3">
      <c r="A1" s="602" t="s">
        <v>155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0" ht="45" customHeight="1" thickBot="1" x14ac:dyDescent="0.5">
      <c r="A2" s="346" t="s">
        <v>76</v>
      </c>
      <c r="B2" s="346" t="s">
        <v>71</v>
      </c>
      <c r="C2" s="348" t="s">
        <v>72</v>
      </c>
      <c r="D2" s="349" t="s">
        <v>73</v>
      </c>
      <c r="E2" s="350" t="s">
        <v>156</v>
      </c>
      <c r="F2" s="350" t="s">
        <v>162</v>
      </c>
      <c r="G2" s="351" t="s">
        <v>172</v>
      </c>
      <c r="H2" s="351" t="s">
        <v>163</v>
      </c>
      <c r="I2" s="455" t="s">
        <v>154</v>
      </c>
      <c r="J2" s="455" t="s">
        <v>161</v>
      </c>
    </row>
    <row r="3" spans="1:10" ht="17.25" customHeight="1" x14ac:dyDescent="0.45">
      <c r="A3" s="457" t="s">
        <v>77</v>
      </c>
      <c r="B3" s="458"/>
      <c r="C3" s="459"/>
      <c r="D3" s="460"/>
      <c r="E3" s="461"/>
      <c r="F3" s="461"/>
      <c r="G3" s="462"/>
      <c r="H3" s="462"/>
      <c r="I3" s="463"/>
      <c r="J3" s="463"/>
    </row>
    <row r="4" spans="1:10" s="469" customFormat="1" ht="17.25" customHeight="1" x14ac:dyDescent="0.45">
      <c r="A4" s="392" t="s">
        <v>78</v>
      </c>
      <c r="B4" s="389">
        <f>B5+B6+B7</f>
        <v>142635491.81999999</v>
      </c>
      <c r="C4" s="464">
        <v>0</v>
      </c>
      <c r="D4" s="465">
        <f>+B4+C4</f>
        <v>142635491.81999999</v>
      </c>
      <c r="E4" s="466"/>
      <c r="F4" s="466"/>
      <c r="G4" s="467">
        <f t="shared" ref="G4:H17" si="0">+D4+E4-F4</f>
        <v>142635491.81999999</v>
      </c>
      <c r="H4" s="467">
        <v>144416428</v>
      </c>
      <c r="I4" s="468">
        <v>143994941.55000001</v>
      </c>
      <c r="J4" s="468">
        <v>159060097</v>
      </c>
    </row>
    <row r="5" spans="1:10" s="469" customFormat="1" ht="17.25" hidden="1" customHeight="1" x14ac:dyDescent="0.45">
      <c r="A5" s="392" t="s">
        <v>79</v>
      </c>
      <c r="B5" s="470">
        <v>91049776.319999993</v>
      </c>
      <c r="C5" s="381"/>
      <c r="D5" s="465">
        <f t="shared" ref="D5:D64" si="1">+B5+C5</f>
        <v>91049776.319999993</v>
      </c>
      <c r="E5" s="466"/>
      <c r="F5" s="466"/>
      <c r="G5" s="467">
        <f t="shared" si="0"/>
        <v>91049776.319999993</v>
      </c>
      <c r="H5" s="467">
        <f t="shared" si="0"/>
        <v>-91049776.319999993</v>
      </c>
      <c r="I5" s="468">
        <v>101849558.77</v>
      </c>
      <c r="J5" s="468">
        <v>102920474</v>
      </c>
    </row>
    <row r="6" spans="1:10" s="469" customFormat="1" ht="17.25" hidden="1" customHeight="1" x14ac:dyDescent="0.45">
      <c r="A6" s="392" t="s">
        <v>80</v>
      </c>
      <c r="B6" s="470">
        <v>12415006.27</v>
      </c>
      <c r="C6" s="381"/>
      <c r="D6" s="465">
        <f t="shared" si="1"/>
        <v>12415006.27</v>
      </c>
      <c r="E6" s="466"/>
      <c r="F6" s="466"/>
      <c r="G6" s="467">
        <f t="shared" si="0"/>
        <v>12415006.27</v>
      </c>
      <c r="H6" s="467">
        <f t="shared" si="0"/>
        <v>-12415006.27</v>
      </c>
      <c r="I6" s="468">
        <v>10699920.029999999</v>
      </c>
      <c r="J6" s="468">
        <v>12431042</v>
      </c>
    </row>
    <row r="7" spans="1:10" s="469" customFormat="1" ht="17.25" hidden="1" customHeight="1" x14ac:dyDescent="0.45">
      <c r="A7" s="392" t="s">
        <v>81</v>
      </c>
      <c r="B7" s="470">
        <v>39170709.229999997</v>
      </c>
      <c r="C7" s="381"/>
      <c r="D7" s="465">
        <f t="shared" si="1"/>
        <v>39170709.229999997</v>
      </c>
      <c r="E7" s="466"/>
      <c r="F7" s="466"/>
      <c r="G7" s="467">
        <f t="shared" si="0"/>
        <v>39170709.229999997</v>
      </c>
      <c r="H7" s="467">
        <f t="shared" si="0"/>
        <v>-39170709.229999997</v>
      </c>
      <c r="I7" s="468">
        <v>31094126.75</v>
      </c>
      <c r="J7" s="468">
        <v>42929616</v>
      </c>
    </row>
    <row r="8" spans="1:10" s="469" customFormat="1" ht="17.25" customHeight="1" x14ac:dyDescent="0.45">
      <c r="A8" s="392" t="s">
        <v>82</v>
      </c>
      <c r="B8" s="389">
        <f>B9+B10+B11+B12+B13+B14+B15</f>
        <v>397292184.14999998</v>
      </c>
      <c r="C8" s="464">
        <f>C9+C10+C11+C12+C13+C14+C15</f>
        <v>0</v>
      </c>
      <c r="D8" s="465">
        <f t="shared" si="1"/>
        <v>397292184.14999998</v>
      </c>
      <c r="E8" s="466"/>
      <c r="F8" s="466"/>
      <c r="G8" s="467">
        <f t="shared" si="0"/>
        <v>397292184.14999998</v>
      </c>
      <c r="H8" s="467">
        <v>368292879</v>
      </c>
      <c r="I8" s="468">
        <v>333092651.69999999</v>
      </c>
      <c r="J8" s="468">
        <v>346162078</v>
      </c>
    </row>
    <row r="9" spans="1:10" s="469" customFormat="1" ht="17.25" hidden="1" customHeight="1" x14ac:dyDescent="0.45">
      <c r="A9" s="392" t="s">
        <v>83</v>
      </c>
      <c r="B9" s="470">
        <f>373532990.58+4835928</f>
        <v>378368918.57999998</v>
      </c>
      <c r="C9" s="381"/>
      <c r="D9" s="465">
        <f t="shared" si="1"/>
        <v>378368918.57999998</v>
      </c>
      <c r="E9" s="466"/>
      <c r="F9" s="466"/>
      <c r="G9" s="467">
        <f t="shared" si="0"/>
        <v>378368918.57999998</v>
      </c>
      <c r="H9" s="467">
        <f t="shared" si="0"/>
        <v>-378368918.57999998</v>
      </c>
      <c r="I9" s="468">
        <v>320612212.55000001</v>
      </c>
      <c r="J9" s="468">
        <v>331124200</v>
      </c>
    </row>
    <row r="10" spans="1:10" s="469" customFormat="1" ht="17.25" hidden="1" customHeight="1" x14ac:dyDescent="0.45">
      <c r="A10" s="392" t="s">
        <v>84</v>
      </c>
      <c r="B10" s="470">
        <v>7498879.6699999999</v>
      </c>
      <c r="C10" s="381"/>
      <c r="D10" s="465">
        <f t="shared" si="1"/>
        <v>7498879.6699999999</v>
      </c>
      <c r="E10" s="466"/>
      <c r="F10" s="466"/>
      <c r="G10" s="467">
        <f t="shared" si="0"/>
        <v>7498879.6699999999</v>
      </c>
      <c r="H10" s="467">
        <f t="shared" si="0"/>
        <v>-7498879.6699999999</v>
      </c>
      <c r="I10" s="468">
        <v>4353308.88</v>
      </c>
      <c r="J10" s="468">
        <v>5321866</v>
      </c>
    </row>
    <row r="11" spans="1:10" s="469" customFormat="1" ht="17.25" hidden="1" customHeight="1" x14ac:dyDescent="0.45">
      <c r="A11" s="392" t="s">
        <v>85</v>
      </c>
      <c r="B11" s="470">
        <v>322053.88</v>
      </c>
      <c r="C11" s="381"/>
      <c r="D11" s="465">
        <f t="shared" si="1"/>
        <v>322053.88</v>
      </c>
      <c r="E11" s="466"/>
      <c r="F11" s="466"/>
      <c r="G11" s="467">
        <f t="shared" si="0"/>
        <v>322053.88</v>
      </c>
      <c r="H11" s="467">
        <f t="shared" si="0"/>
        <v>-322053.88</v>
      </c>
      <c r="I11" s="468">
        <v>176979.68</v>
      </c>
      <c r="J11" s="468">
        <v>162591</v>
      </c>
    </row>
    <row r="12" spans="1:10" s="469" customFormat="1" ht="17.25" hidden="1" customHeight="1" x14ac:dyDescent="0.45">
      <c r="A12" s="403" t="s">
        <v>86</v>
      </c>
      <c r="B12" s="470">
        <v>53392.05</v>
      </c>
      <c r="C12" s="381"/>
      <c r="D12" s="465">
        <f t="shared" si="1"/>
        <v>53392.05</v>
      </c>
      <c r="E12" s="466"/>
      <c r="F12" s="466"/>
      <c r="G12" s="467">
        <f t="shared" si="0"/>
        <v>53392.05</v>
      </c>
      <c r="H12" s="467">
        <f t="shared" si="0"/>
        <v>-53392.05</v>
      </c>
      <c r="I12" s="468">
        <v>172315.21</v>
      </c>
      <c r="J12" s="468">
        <v>53238</v>
      </c>
    </row>
    <row r="13" spans="1:10" s="469" customFormat="1" ht="17.25" hidden="1" customHeight="1" x14ac:dyDescent="0.45">
      <c r="A13" s="392" t="s">
        <v>87</v>
      </c>
      <c r="B13" s="470">
        <v>46935.71</v>
      </c>
      <c r="C13" s="381"/>
      <c r="D13" s="465">
        <f t="shared" si="1"/>
        <v>46935.71</v>
      </c>
      <c r="E13" s="466"/>
      <c r="F13" s="466"/>
      <c r="G13" s="467">
        <f t="shared" si="0"/>
        <v>46935.71</v>
      </c>
      <c r="H13" s="467">
        <f t="shared" si="0"/>
        <v>-46935.71</v>
      </c>
      <c r="I13" s="468">
        <v>108015.85</v>
      </c>
      <c r="J13" s="468">
        <v>204389</v>
      </c>
    </row>
    <row r="14" spans="1:10" s="469" customFormat="1" ht="17.25" hidden="1" customHeight="1" x14ac:dyDescent="0.45">
      <c r="A14" s="392" t="s">
        <v>88</v>
      </c>
      <c r="B14" s="470">
        <v>2977628.96</v>
      </c>
      <c r="C14" s="381"/>
      <c r="D14" s="465">
        <f t="shared" si="1"/>
        <v>2977628.96</v>
      </c>
      <c r="E14" s="466"/>
      <c r="F14" s="466"/>
      <c r="G14" s="467">
        <f t="shared" si="0"/>
        <v>2977628.96</v>
      </c>
      <c r="H14" s="467">
        <f t="shared" si="0"/>
        <v>-2977628.96</v>
      </c>
      <c r="I14" s="468">
        <v>2715994.19</v>
      </c>
      <c r="J14" s="468">
        <v>2952838</v>
      </c>
    </row>
    <row r="15" spans="1:10" s="469" customFormat="1" ht="17.25" hidden="1" customHeight="1" x14ac:dyDescent="0.45">
      <c r="A15" s="392" t="s">
        <v>89</v>
      </c>
      <c r="B15" s="470">
        <v>8024375.2999999998</v>
      </c>
      <c r="C15" s="381"/>
      <c r="D15" s="465">
        <f t="shared" si="1"/>
        <v>8024375.2999999998</v>
      </c>
      <c r="E15" s="466"/>
      <c r="F15" s="466"/>
      <c r="G15" s="467">
        <f t="shared" si="0"/>
        <v>8024375.2999999998</v>
      </c>
      <c r="H15" s="467">
        <f t="shared" si="0"/>
        <v>-8024375.2999999998</v>
      </c>
      <c r="I15" s="468">
        <v>4953825.34</v>
      </c>
      <c r="J15" s="468">
        <v>6342956</v>
      </c>
    </row>
    <row r="16" spans="1:10" s="469" customFormat="1" ht="17.25" customHeight="1" x14ac:dyDescent="0.45">
      <c r="A16" s="392" t="s">
        <v>90</v>
      </c>
      <c r="B16" s="471">
        <v>0</v>
      </c>
      <c r="C16" s="464">
        <v>0</v>
      </c>
      <c r="D16" s="465">
        <f t="shared" si="1"/>
        <v>0</v>
      </c>
      <c r="E16" s="466"/>
      <c r="F16" s="466"/>
      <c r="G16" s="467">
        <f t="shared" si="0"/>
        <v>0</v>
      </c>
      <c r="H16" s="467">
        <f t="shared" si="0"/>
        <v>0</v>
      </c>
      <c r="I16" s="468">
        <v>0</v>
      </c>
      <c r="J16" s="468">
        <v>0</v>
      </c>
    </row>
    <row r="17" spans="1:11" s="469" customFormat="1" ht="17.25" customHeight="1" x14ac:dyDescent="0.45">
      <c r="A17" s="392" t="s">
        <v>91</v>
      </c>
      <c r="B17" s="472">
        <v>18151340.809999999</v>
      </c>
      <c r="C17" s="464">
        <v>0</v>
      </c>
      <c r="D17" s="465">
        <f>+B17+C17</f>
        <v>18151340.809999999</v>
      </c>
      <c r="E17" s="466"/>
      <c r="F17" s="466"/>
      <c r="G17" s="467">
        <f t="shared" si="0"/>
        <v>18151340.809999999</v>
      </c>
      <c r="H17" s="467">
        <v>16509670</v>
      </c>
      <c r="I17" s="468">
        <v>10945332.82</v>
      </c>
      <c r="J17" s="468">
        <v>14979201</v>
      </c>
    </row>
    <row r="18" spans="1:11" s="469" customFormat="1" ht="17.25" customHeight="1" x14ac:dyDescent="0.45">
      <c r="A18" s="392" t="s">
        <v>92</v>
      </c>
      <c r="B18" s="472">
        <v>23386733.48</v>
      </c>
      <c r="C18" s="464">
        <v>1302321</v>
      </c>
      <c r="D18" s="465">
        <f>+B18+C18</f>
        <v>24689054.48</v>
      </c>
      <c r="E18" s="473">
        <v>12094.83</v>
      </c>
      <c r="F18" s="466">
        <v>1085748.94</v>
      </c>
      <c r="G18" s="467">
        <f>+D18-E18-F18</f>
        <v>23591210.710000001</v>
      </c>
      <c r="H18" s="467">
        <v>25534777</v>
      </c>
      <c r="I18" s="468">
        <v>42037994.969999999</v>
      </c>
      <c r="J18" s="468">
        <v>31301272</v>
      </c>
      <c r="K18" s="474">
        <f>F18-E31</f>
        <v>0</v>
      </c>
    </row>
    <row r="19" spans="1:11" s="469" customFormat="1" ht="17.25" customHeight="1" x14ac:dyDescent="0.45">
      <c r="A19" s="392" t="s">
        <v>93</v>
      </c>
      <c r="B19" s="475">
        <v>0</v>
      </c>
      <c r="C19" s="464">
        <v>0</v>
      </c>
      <c r="D19" s="465">
        <f t="shared" si="1"/>
        <v>0</v>
      </c>
      <c r="E19" s="466"/>
      <c r="F19" s="466"/>
      <c r="G19" s="467">
        <f>+D19+E19-F19</f>
        <v>0</v>
      </c>
      <c r="H19" s="467">
        <f>+E19+F19-G19</f>
        <v>0</v>
      </c>
      <c r="I19" s="468">
        <v>0</v>
      </c>
      <c r="J19" s="468">
        <v>0</v>
      </c>
    </row>
    <row r="20" spans="1:11" s="469" customFormat="1" ht="17.25" customHeight="1" x14ac:dyDescent="0.45">
      <c r="A20" s="392" t="s">
        <v>94</v>
      </c>
      <c r="B20" s="472">
        <v>386079.76</v>
      </c>
      <c r="C20" s="464">
        <v>0</v>
      </c>
      <c r="D20" s="465">
        <f>+B20+C20</f>
        <v>386079.76</v>
      </c>
      <c r="E20" s="466"/>
      <c r="F20" s="466"/>
      <c r="G20" s="467">
        <f>+D20+E20-F20</f>
        <v>386079.76</v>
      </c>
      <c r="H20" s="467">
        <v>279136</v>
      </c>
      <c r="I20" s="468">
        <v>0</v>
      </c>
      <c r="J20" s="468">
        <v>513718</v>
      </c>
    </row>
    <row r="21" spans="1:11" ht="17.25" customHeight="1" x14ac:dyDescent="0.45">
      <c r="A21" s="476" t="s">
        <v>95</v>
      </c>
      <c r="B21" s="477">
        <f>B4+B8+B16+B17+B18+B19+B20</f>
        <v>581851830.01999998</v>
      </c>
      <c r="C21" s="478">
        <f>C4+C8+C16+C17+C18+C19+C20</f>
        <v>1302321</v>
      </c>
      <c r="D21" s="479">
        <f>+B21+C21</f>
        <v>583154151.01999998</v>
      </c>
      <c r="E21" s="480">
        <f>SUM(E4:E20)</f>
        <v>12094.83</v>
      </c>
      <c r="F21" s="480">
        <f>SUM(F4:F20)</f>
        <v>1085748.94</v>
      </c>
      <c r="G21" s="481">
        <f>+D21-E21-F21</f>
        <v>582056307.24999988</v>
      </c>
      <c r="H21" s="481">
        <v>555032890</v>
      </c>
      <c r="I21" s="482">
        <v>530070921.03999996</v>
      </c>
      <c r="J21" s="482">
        <v>552016366</v>
      </c>
    </row>
    <row r="22" spans="1:11" ht="17.25" customHeight="1" x14ac:dyDescent="0.45">
      <c r="A22" s="359" t="s">
        <v>96</v>
      </c>
      <c r="B22" s="483"/>
      <c r="C22" s="484"/>
      <c r="D22" s="485">
        <f t="shared" si="1"/>
        <v>0</v>
      </c>
      <c r="E22" s="486"/>
      <c r="F22" s="486"/>
      <c r="G22" s="487">
        <f>+D22+E22-F22</f>
        <v>0</v>
      </c>
      <c r="H22" s="487">
        <f>+E22+F22-G22</f>
        <v>0</v>
      </c>
      <c r="I22" s="488">
        <v>0</v>
      </c>
      <c r="J22" s="488">
        <v>0</v>
      </c>
    </row>
    <row r="23" spans="1:11" s="469" customFormat="1" ht="17.25" customHeight="1" x14ac:dyDescent="0.45">
      <c r="A23" s="392" t="s">
        <v>97</v>
      </c>
      <c r="B23" s="389">
        <f>B24+B30</f>
        <v>288316400.50999999</v>
      </c>
      <c r="C23" s="431">
        <v>383142</v>
      </c>
      <c r="D23" s="465">
        <f t="shared" si="1"/>
        <v>288699542.50999999</v>
      </c>
      <c r="E23" s="466"/>
      <c r="F23" s="466"/>
      <c r="G23" s="489">
        <f t="shared" ref="G23:H51" si="2">+D23-E23-F23</f>
        <v>288699542.50999999</v>
      </c>
      <c r="H23" s="489">
        <v>268813952</v>
      </c>
      <c r="I23" s="490">
        <v>254547178.16000003</v>
      </c>
      <c r="J23" s="490">
        <v>270749949</v>
      </c>
    </row>
    <row r="24" spans="1:11" s="469" customFormat="1" ht="17.25" customHeight="1" x14ac:dyDescent="0.45">
      <c r="A24" s="392" t="s">
        <v>98</v>
      </c>
      <c r="B24" s="389">
        <f>B25+B26+B27+B28+B29</f>
        <v>211521377.54999998</v>
      </c>
      <c r="C24" s="464">
        <f>C25+C26+C27+C28+C29</f>
        <v>0</v>
      </c>
      <c r="D24" s="465">
        <f t="shared" si="1"/>
        <v>211521377.54999998</v>
      </c>
      <c r="E24" s="466"/>
      <c r="F24" s="466"/>
      <c r="G24" s="489">
        <f t="shared" si="2"/>
        <v>211521377.54999998</v>
      </c>
      <c r="H24" s="489">
        <v>195155200</v>
      </c>
      <c r="I24" s="490">
        <v>183576670.23000002</v>
      </c>
      <c r="J24" s="490">
        <v>197093922</v>
      </c>
    </row>
    <row r="25" spans="1:11" s="469" customFormat="1" ht="17.25" hidden="1" customHeight="1" x14ac:dyDescent="0.45">
      <c r="A25" s="392" t="s">
        <v>99</v>
      </c>
      <c r="B25" s="470">
        <v>182067078.28999999</v>
      </c>
      <c r="C25" s="429"/>
      <c r="D25" s="465">
        <f t="shared" si="1"/>
        <v>182067078.28999999</v>
      </c>
      <c r="E25" s="466"/>
      <c r="F25" s="466"/>
      <c r="G25" s="489">
        <f t="shared" si="2"/>
        <v>182067078.28999999</v>
      </c>
      <c r="H25" s="489">
        <f t="shared" si="2"/>
        <v>-182067078.28999999</v>
      </c>
      <c r="I25" s="490">
        <v>157692033.81999999</v>
      </c>
      <c r="J25" s="490">
        <v>170753841</v>
      </c>
    </row>
    <row r="26" spans="1:11" s="469" customFormat="1" ht="17.25" hidden="1" customHeight="1" x14ac:dyDescent="0.45">
      <c r="A26" s="392" t="s">
        <v>100</v>
      </c>
      <c r="B26" s="470">
        <v>22778292.559999999</v>
      </c>
      <c r="C26" s="429"/>
      <c r="D26" s="465">
        <f t="shared" si="1"/>
        <v>22778292.559999999</v>
      </c>
      <c r="E26" s="466"/>
      <c r="F26" s="466"/>
      <c r="G26" s="489">
        <f t="shared" si="2"/>
        <v>22778292.559999999</v>
      </c>
      <c r="H26" s="489">
        <f t="shared" si="2"/>
        <v>-22778292.559999999</v>
      </c>
      <c r="I26" s="490">
        <v>21021503.859999999</v>
      </c>
      <c r="J26" s="490">
        <v>20575409</v>
      </c>
    </row>
    <row r="27" spans="1:11" s="469" customFormat="1" ht="17.25" hidden="1" customHeight="1" x14ac:dyDescent="0.45">
      <c r="A27" s="392" t="s">
        <v>101</v>
      </c>
      <c r="B27" s="470">
        <v>2194358.0099999998</v>
      </c>
      <c r="C27" s="429"/>
      <c r="D27" s="465">
        <f t="shared" si="1"/>
        <v>2194358.0099999998</v>
      </c>
      <c r="E27" s="466"/>
      <c r="F27" s="466"/>
      <c r="G27" s="489">
        <f t="shared" si="2"/>
        <v>2194358.0099999998</v>
      </c>
      <c r="H27" s="489">
        <f t="shared" si="2"/>
        <v>-2194358.0099999998</v>
      </c>
      <c r="I27" s="490">
        <v>1695903.66</v>
      </c>
      <c r="J27" s="490">
        <v>1732627</v>
      </c>
    </row>
    <row r="28" spans="1:11" s="469" customFormat="1" ht="17.25" hidden="1" customHeight="1" x14ac:dyDescent="0.45">
      <c r="A28" s="392" t="s">
        <v>102</v>
      </c>
      <c r="B28" s="470">
        <v>951268.68</v>
      </c>
      <c r="C28" s="429"/>
      <c r="D28" s="465">
        <f t="shared" si="1"/>
        <v>951268.68</v>
      </c>
      <c r="E28" s="466"/>
      <c r="F28" s="466"/>
      <c r="G28" s="489">
        <f t="shared" si="2"/>
        <v>951268.68</v>
      </c>
      <c r="H28" s="489">
        <f t="shared" si="2"/>
        <v>-951268.68</v>
      </c>
      <c r="I28" s="490">
        <v>1137855.58</v>
      </c>
      <c r="J28" s="490">
        <v>1078921</v>
      </c>
    </row>
    <row r="29" spans="1:11" s="469" customFormat="1" ht="17.25" hidden="1" customHeight="1" x14ac:dyDescent="0.45">
      <c r="A29" s="392" t="s">
        <v>103</v>
      </c>
      <c r="B29" s="470">
        <v>3530380.01</v>
      </c>
      <c r="C29" s="429"/>
      <c r="D29" s="465">
        <f t="shared" si="1"/>
        <v>3530380.01</v>
      </c>
      <c r="E29" s="466"/>
      <c r="F29" s="466"/>
      <c r="G29" s="489">
        <f t="shared" si="2"/>
        <v>3530380.01</v>
      </c>
      <c r="H29" s="489">
        <f t="shared" si="2"/>
        <v>-3530380.01</v>
      </c>
      <c r="I29" s="490">
        <v>2029373.31</v>
      </c>
      <c r="J29" s="490">
        <v>2953124</v>
      </c>
    </row>
    <row r="30" spans="1:11" s="469" customFormat="1" ht="17.25" customHeight="1" x14ac:dyDescent="0.45">
      <c r="A30" s="392" t="s">
        <v>104</v>
      </c>
      <c r="B30" s="470">
        <f>75391007.96+1404015</f>
        <v>76795022.959999993</v>
      </c>
      <c r="C30" s="464"/>
      <c r="D30" s="465">
        <f t="shared" si="1"/>
        <v>76795022.959999993</v>
      </c>
      <c r="E30" s="466"/>
      <c r="F30" s="466"/>
      <c r="G30" s="489">
        <f t="shared" si="2"/>
        <v>76795022.959999993</v>
      </c>
      <c r="H30" s="489">
        <v>73292007</v>
      </c>
      <c r="I30" s="490">
        <v>70499628.930000007</v>
      </c>
      <c r="J30" s="490">
        <v>73209593</v>
      </c>
    </row>
    <row r="31" spans="1:11" s="469" customFormat="1" ht="17.25" customHeight="1" x14ac:dyDescent="0.45">
      <c r="A31" s="392" t="s">
        <v>105</v>
      </c>
      <c r="B31" s="430">
        <f>B32+B33+B34+B35+B36+B37+B38+B39+B40+B41+B42+B43</f>
        <v>217990059.18000001</v>
      </c>
      <c r="C31" s="431">
        <f>17764+694628+19274</f>
        <v>731666</v>
      </c>
      <c r="D31" s="465">
        <f t="shared" si="1"/>
        <v>218721725.18000001</v>
      </c>
      <c r="E31" s="466">
        <v>1085748.94</v>
      </c>
      <c r="F31" s="473">
        <v>12094.83</v>
      </c>
      <c r="G31" s="489">
        <f t="shared" si="2"/>
        <v>217623881.41</v>
      </c>
      <c r="H31" s="489">
        <v>190810518</v>
      </c>
      <c r="I31" s="490">
        <v>183878398.08999997</v>
      </c>
      <c r="J31" s="490">
        <v>198164251</v>
      </c>
    </row>
    <row r="32" spans="1:11" s="469" customFormat="1" ht="17.25" hidden="1" customHeight="1" x14ac:dyDescent="0.45">
      <c r="A32" s="392" t="s">
        <v>106</v>
      </c>
      <c r="B32" s="470">
        <v>79141842.329999998</v>
      </c>
      <c r="C32" s="429"/>
      <c r="D32" s="465">
        <f t="shared" si="1"/>
        <v>79141842.329999998</v>
      </c>
      <c r="E32" s="466"/>
      <c r="F32" s="466"/>
      <c r="G32" s="489">
        <f t="shared" si="2"/>
        <v>79141842.329999998</v>
      </c>
      <c r="H32" s="489">
        <f t="shared" si="2"/>
        <v>-79141842.329999998</v>
      </c>
      <c r="I32" s="490">
        <v>63700255.829999998</v>
      </c>
      <c r="J32" s="490">
        <v>66045640</v>
      </c>
    </row>
    <row r="33" spans="1:10" s="469" customFormat="1" ht="17.25" hidden="1" customHeight="1" x14ac:dyDescent="0.45">
      <c r="A33" s="392" t="s">
        <v>107</v>
      </c>
      <c r="B33" s="470">
        <v>22815274.600000001</v>
      </c>
      <c r="C33" s="429"/>
      <c r="D33" s="465">
        <f t="shared" si="1"/>
        <v>22815274.600000001</v>
      </c>
      <c r="E33" s="466"/>
      <c r="F33" s="466"/>
      <c r="G33" s="489">
        <f t="shared" si="2"/>
        <v>22815274.600000001</v>
      </c>
      <c r="H33" s="489">
        <f t="shared" si="2"/>
        <v>-22815274.600000001</v>
      </c>
      <c r="I33" s="490">
        <v>19472289.210000001</v>
      </c>
      <c r="J33" s="490">
        <v>21650694</v>
      </c>
    </row>
    <row r="34" spans="1:10" s="469" customFormat="1" ht="17.25" hidden="1" customHeight="1" x14ac:dyDescent="0.45">
      <c r="A34" s="403" t="s">
        <v>108</v>
      </c>
      <c r="B34" s="470">
        <v>1765722.67</v>
      </c>
      <c r="C34" s="429"/>
      <c r="D34" s="465">
        <f t="shared" si="1"/>
        <v>1765722.67</v>
      </c>
      <c r="E34" s="466"/>
      <c r="F34" s="466"/>
      <c r="G34" s="489">
        <f t="shared" si="2"/>
        <v>1765722.67</v>
      </c>
      <c r="H34" s="489">
        <f t="shared" si="2"/>
        <v>-1765722.67</v>
      </c>
      <c r="I34" s="490">
        <v>513728.55</v>
      </c>
      <c r="J34" s="490">
        <v>298832</v>
      </c>
    </row>
    <row r="35" spans="1:10" s="469" customFormat="1" ht="17.25" hidden="1" customHeight="1" x14ac:dyDescent="0.45">
      <c r="A35" s="392" t="s">
        <v>109</v>
      </c>
      <c r="B35" s="470">
        <v>6692056.1600000001</v>
      </c>
      <c r="C35" s="429"/>
      <c r="D35" s="465">
        <f t="shared" si="1"/>
        <v>6692056.1600000001</v>
      </c>
      <c r="E35" s="466"/>
      <c r="F35" s="466"/>
      <c r="G35" s="489">
        <f t="shared" si="2"/>
        <v>6692056.1600000001</v>
      </c>
      <c r="H35" s="489">
        <f t="shared" si="2"/>
        <v>-6692056.1600000001</v>
      </c>
      <c r="I35" s="490">
        <v>7618265.4800000004</v>
      </c>
      <c r="J35" s="490">
        <v>15821865</v>
      </c>
    </row>
    <row r="36" spans="1:10" s="469" customFormat="1" ht="17.25" hidden="1" customHeight="1" x14ac:dyDescent="0.45">
      <c r="A36" s="392" t="s">
        <v>110</v>
      </c>
      <c r="B36" s="470">
        <v>10562651.369999999</v>
      </c>
      <c r="C36" s="429"/>
      <c r="D36" s="465">
        <f t="shared" si="1"/>
        <v>10562651.369999999</v>
      </c>
      <c r="E36" s="466"/>
      <c r="F36" s="466"/>
      <c r="G36" s="489">
        <f t="shared" si="2"/>
        <v>10562651.369999999</v>
      </c>
      <c r="H36" s="489">
        <f t="shared" si="2"/>
        <v>-10562651.369999999</v>
      </c>
      <c r="I36" s="490">
        <v>8760385.7899999991</v>
      </c>
      <c r="J36" s="490">
        <v>9579548</v>
      </c>
    </row>
    <row r="37" spans="1:10" s="469" customFormat="1" ht="17.25" hidden="1" customHeight="1" x14ac:dyDescent="0.45">
      <c r="A37" s="392" t="s">
        <v>111</v>
      </c>
      <c r="B37" s="470">
        <v>0</v>
      </c>
      <c r="C37" s="429"/>
      <c r="D37" s="465">
        <f t="shared" si="1"/>
        <v>0</v>
      </c>
      <c r="E37" s="466"/>
      <c r="F37" s="466"/>
      <c r="G37" s="489">
        <f t="shared" si="2"/>
        <v>0</v>
      </c>
      <c r="H37" s="489">
        <f t="shared" si="2"/>
        <v>0</v>
      </c>
      <c r="I37" s="490">
        <v>0</v>
      </c>
      <c r="J37" s="490">
        <v>0</v>
      </c>
    </row>
    <row r="38" spans="1:10" s="469" customFormat="1" ht="17.25" hidden="1" customHeight="1" x14ac:dyDescent="0.45">
      <c r="A38" s="392" t="s">
        <v>112</v>
      </c>
      <c r="B38" s="470">
        <v>6869337.2000000002</v>
      </c>
      <c r="C38" s="429"/>
      <c r="D38" s="465">
        <f t="shared" si="1"/>
        <v>6869337.2000000002</v>
      </c>
      <c r="E38" s="466"/>
      <c r="F38" s="466"/>
      <c r="G38" s="489">
        <f t="shared" si="2"/>
        <v>6869337.2000000002</v>
      </c>
      <c r="H38" s="489">
        <f t="shared" si="2"/>
        <v>-6869337.2000000002</v>
      </c>
      <c r="I38" s="490">
        <v>4203697.5999999996</v>
      </c>
      <c r="J38" s="490">
        <v>5208627</v>
      </c>
    </row>
    <row r="39" spans="1:10" s="469" customFormat="1" ht="17.25" hidden="1" customHeight="1" x14ac:dyDescent="0.45">
      <c r="A39" s="392" t="s">
        <v>113</v>
      </c>
      <c r="B39" s="470">
        <v>69937724</v>
      </c>
      <c r="C39" s="429"/>
      <c r="D39" s="465">
        <f t="shared" si="1"/>
        <v>69937724</v>
      </c>
      <c r="E39" s="466"/>
      <c r="F39" s="466"/>
      <c r="G39" s="489">
        <f t="shared" si="2"/>
        <v>69937724</v>
      </c>
      <c r="H39" s="489">
        <f t="shared" si="2"/>
        <v>-69937724</v>
      </c>
      <c r="I39" s="490">
        <v>62518495.869999997</v>
      </c>
      <c r="J39" s="490">
        <v>64086574</v>
      </c>
    </row>
    <row r="40" spans="1:10" s="469" customFormat="1" ht="17.25" hidden="1" customHeight="1" x14ac:dyDescent="0.45">
      <c r="A40" s="392" t="s">
        <v>114</v>
      </c>
      <c r="B40" s="470">
        <v>3276055.98</v>
      </c>
      <c r="C40" s="429"/>
      <c r="D40" s="465">
        <f t="shared" si="1"/>
        <v>3276055.98</v>
      </c>
      <c r="E40" s="466"/>
      <c r="F40" s="466"/>
      <c r="G40" s="489">
        <f t="shared" si="2"/>
        <v>3276055.98</v>
      </c>
      <c r="H40" s="489">
        <f t="shared" si="2"/>
        <v>-3276055.98</v>
      </c>
      <c r="I40" s="490">
        <v>2218451.23</v>
      </c>
      <c r="J40" s="490">
        <v>2926003</v>
      </c>
    </row>
    <row r="41" spans="1:10" s="469" customFormat="1" ht="17.25" hidden="1" customHeight="1" x14ac:dyDescent="0.45">
      <c r="A41" s="392" t="s">
        <v>115</v>
      </c>
      <c r="B41" s="470">
        <v>0</v>
      </c>
      <c r="C41" s="429"/>
      <c r="D41" s="465">
        <f t="shared" si="1"/>
        <v>0</v>
      </c>
      <c r="E41" s="466"/>
      <c r="F41" s="466"/>
      <c r="G41" s="489">
        <f t="shared" si="2"/>
        <v>0</v>
      </c>
      <c r="H41" s="489">
        <f t="shared" si="2"/>
        <v>0</v>
      </c>
      <c r="I41" s="490">
        <v>0</v>
      </c>
      <c r="J41" s="490">
        <v>0</v>
      </c>
    </row>
    <row r="42" spans="1:10" s="469" customFormat="1" ht="17.25" hidden="1" customHeight="1" x14ac:dyDescent="0.45">
      <c r="A42" s="392" t="s">
        <v>116</v>
      </c>
      <c r="B42" s="470">
        <v>10224324.060000001</v>
      </c>
      <c r="C42" s="429"/>
      <c r="D42" s="465">
        <f t="shared" si="1"/>
        <v>10224324.060000001</v>
      </c>
      <c r="E42" s="466"/>
      <c r="F42" s="466"/>
      <c r="G42" s="489">
        <f t="shared" si="2"/>
        <v>10224324.060000001</v>
      </c>
      <c r="H42" s="489">
        <f t="shared" si="2"/>
        <v>-10224324.060000001</v>
      </c>
      <c r="I42" s="490">
        <v>7598588.3700000001</v>
      </c>
      <c r="J42" s="490">
        <v>6443063</v>
      </c>
    </row>
    <row r="43" spans="1:10" s="469" customFormat="1" ht="17.25" hidden="1" customHeight="1" x14ac:dyDescent="0.45">
      <c r="A43" s="392" t="s">
        <v>117</v>
      </c>
      <c r="B43" s="470">
        <v>6705070.8099999996</v>
      </c>
      <c r="C43" s="429"/>
      <c r="D43" s="465">
        <f t="shared" si="1"/>
        <v>6705070.8099999996</v>
      </c>
      <c r="E43" s="466"/>
      <c r="F43" s="466"/>
      <c r="G43" s="489">
        <f t="shared" si="2"/>
        <v>6705070.8099999996</v>
      </c>
      <c r="H43" s="489">
        <f t="shared" si="2"/>
        <v>-6705070.8099999996</v>
      </c>
      <c r="I43" s="490">
        <v>7441963.1600000001</v>
      </c>
      <c r="J43" s="490">
        <v>6009965</v>
      </c>
    </row>
    <row r="44" spans="1:10" s="469" customFormat="1" ht="17.25" customHeight="1" x14ac:dyDescent="0.45">
      <c r="A44" s="392" t="s">
        <v>118</v>
      </c>
      <c r="B44" s="389">
        <f>B45+B46+B47+B48</f>
        <v>23577251.68</v>
      </c>
      <c r="C44" s="431">
        <f>7648+34622</f>
        <v>42270</v>
      </c>
      <c r="D44" s="465">
        <f t="shared" si="1"/>
        <v>23619521.68</v>
      </c>
      <c r="E44" s="466"/>
      <c r="F44" s="466"/>
      <c r="G44" s="489">
        <f t="shared" si="2"/>
        <v>23619521.68</v>
      </c>
      <c r="H44" s="489">
        <v>23534073</v>
      </c>
      <c r="I44" s="490">
        <v>22406633.130000003</v>
      </c>
      <c r="J44" s="490">
        <v>23643327</v>
      </c>
    </row>
    <row r="45" spans="1:10" s="469" customFormat="1" ht="17.25" hidden="1" customHeight="1" x14ac:dyDescent="0.45">
      <c r="A45" s="392" t="s">
        <v>119</v>
      </c>
      <c r="B45" s="470">
        <v>623831.06999999995</v>
      </c>
      <c r="C45" s="429"/>
      <c r="D45" s="465">
        <f t="shared" si="1"/>
        <v>623831.06999999995</v>
      </c>
      <c r="E45" s="466"/>
      <c r="F45" s="466"/>
      <c r="G45" s="489">
        <f t="shared" si="2"/>
        <v>623831.06999999995</v>
      </c>
      <c r="H45" s="489">
        <f t="shared" si="2"/>
        <v>-623831.06999999995</v>
      </c>
      <c r="I45" s="490">
        <v>237384.17</v>
      </c>
      <c r="J45" s="490">
        <v>371270</v>
      </c>
    </row>
    <row r="46" spans="1:10" s="469" customFormat="1" ht="17.25" hidden="1" customHeight="1" x14ac:dyDescent="0.45">
      <c r="A46" s="392" t="s">
        <v>120</v>
      </c>
      <c r="B46" s="470">
        <v>22953420.609999999</v>
      </c>
      <c r="C46" s="429"/>
      <c r="D46" s="465">
        <f t="shared" si="1"/>
        <v>22953420.609999999</v>
      </c>
      <c r="E46" s="466"/>
      <c r="F46" s="466"/>
      <c r="G46" s="489">
        <f t="shared" si="2"/>
        <v>22953420.609999999</v>
      </c>
      <c r="H46" s="489">
        <f t="shared" si="2"/>
        <v>-22953420.609999999</v>
      </c>
      <c r="I46" s="490">
        <v>22082568.960000001</v>
      </c>
      <c r="J46" s="490">
        <v>23193200</v>
      </c>
    </row>
    <row r="47" spans="1:10" s="469" customFormat="1" ht="17.25" hidden="1" customHeight="1" x14ac:dyDescent="0.45">
      <c r="A47" s="392" t="s">
        <v>121</v>
      </c>
      <c r="B47" s="470">
        <v>0</v>
      </c>
      <c r="C47" s="429"/>
      <c r="D47" s="465">
        <f t="shared" si="1"/>
        <v>0</v>
      </c>
      <c r="E47" s="466"/>
      <c r="F47" s="466"/>
      <c r="G47" s="489">
        <f t="shared" si="2"/>
        <v>0</v>
      </c>
      <c r="H47" s="489">
        <f t="shared" si="2"/>
        <v>0</v>
      </c>
      <c r="I47" s="490">
        <v>0</v>
      </c>
      <c r="J47" s="490">
        <v>0</v>
      </c>
    </row>
    <row r="48" spans="1:10" s="469" customFormat="1" ht="17.25" hidden="1" customHeight="1" x14ac:dyDescent="0.45">
      <c r="A48" s="392" t="s">
        <v>122</v>
      </c>
      <c r="B48" s="470">
        <v>0</v>
      </c>
      <c r="C48" s="429"/>
      <c r="D48" s="465">
        <f t="shared" si="1"/>
        <v>0</v>
      </c>
      <c r="E48" s="466"/>
      <c r="F48" s="466"/>
      <c r="G48" s="489">
        <f t="shared" si="2"/>
        <v>0</v>
      </c>
      <c r="H48" s="489">
        <f t="shared" si="2"/>
        <v>0</v>
      </c>
      <c r="I48" s="490">
        <v>0</v>
      </c>
      <c r="J48" s="490">
        <v>0</v>
      </c>
    </row>
    <row r="49" spans="1:13" s="469" customFormat="1" ht="17.25" customHeight="1" x14ac:dyDescent="0.45">
      <c r="A49" s="392" t="s">
        <v>123</v>
      </c>
      <c r="B49" s="472">
        <v>13835595</v>
      </c>
      <c r="C49" s="429">
        <v>23000</v>
      </c>
      <c r="D49" s="465">
        <f t="shared" si="1"/>
        <v>13858595</v>
      </c>
      <c r="E49" s="466"/>
      <c r="F49" s="466"/>
      <c r="G49" s="489">
        <f t="shared" si="2"/>
        <v>13858595</v>
      </c>
      <c r="H49" s="489">
        <v>16421717</v>
      </c>
      <c r="I49" s="490">
        <v>26335278.77</v>
      </c>
      <c r="J49" s="490">
        <v>26563370</v>
      </c>
      <c r="K49" s="474"/>
    </row>
    <row r="50" spans="1:13" s="469" customFormat="1" ht="17.25" customHeight="1" x14ac:dyDescent="0.45">
      <c r="A50" s="392" t="s">
        <v>124</v>
      </c>
      <c r="B50" s="472">
        <v>1661031</v>
      </c>
      <c r="C50" s="429">
        <v>67626</v>
      </c>
      <c r="D50" s="465">
        <f t="shared" si="1"/>
        <v>1728657</v>
      </c>
      <c r="E50" s="466"/>
      <c r="F50" s="466"/>
      <c r="G50" s="489">
        <f t="shared" si="2"/>
        <v>1728657</v>
      </c>
      <c r="H50" s="489">
        <v>1880303</v>
      </c>
      <c r="I50" s="490">
        <v>1400261.86</v>
      </c>
      <c r="J50" s="490">
        <v>1510006</v>
      </c>
    </row>
    <row r="51" spans="1:13" ht="17.25" customHeight="1" x14ac:dyDescent="0.45">
      <c r="A51" s="476" t="s">
        <v>125</v>
      </c>
      <c r="B51" s="477">
        <f>B23+B31+B44+B49+B50</f>
        <v>545380337.37</v>
      </c>
      <c r="C51" s="478">
        <f>C23+C31+C44+C49+C50</f>
        <v>1247704</v>
      </c>
      <c r="D51" s="479">
        <f>+B51+C51</f>
        <v>546628041.37</v>
      </c>
      <c r="E51" s="480">
        <f>SUM(E23:E50)</f>
        <v>1085748.94</v>
      </c>
      <c r="F51" s="480">
        <f>SUM(F23:F50)</f>
        <v>12094.83</v>
      </c>
      <c r="G51" s="481">
        <f t="shared" si="2"/>
        <v>545530197.5999999</v>
      </c>
      <c r="H51" s="481">
        <v>501460564</v>
      </c>
      <c r="I51" s="482">
        <v>488567750.00999999</v>
      </c>
      <c r="J51" s="482">
        <v>520630903</v>
      </c>
      <c r="K51" s="491"/>
      <c r="L51" s="491"/>
      <c r="M51" s="491"/>
    </row>
    <row r="52" spans="1:13" ht="17.25" customHeight="1" x14ac:dyDescent="0.45">
      <c r="A52" s="492" t="s">
        <v>126</v>
      </c>
      <c r="B52" s="477">
        <f>B21-B51</f>
        <v>36471492.649999976</v>
      </c>
      <c r="C52" s="478">
        <f>C21-C51</f>
        <v>54617</v>
      </c>
      <c r="D52" s="479">
        <f>+B52+C52</f>
        <v>36526109.649999976</v>
      </c>
      <c r="E52" s="480">
        <f>E21-E51</f>
        <v>-1073654.1099999999</v>
      </c>
      <c r="F52" s="480">
        <f>F21-F51</f>
        <v>1073654.1099999999</v>
      </c>
      <c r="G52" s="481">
        <f>+G21-G51</f>
        <v>36526109.649999976</v>
      </c>
      <c r="H52" s="481">
        <f>+H21-H51</f>
        <v>53572326</v>
      </c>
      <c r="I52" s="482">
        <v>41503171.029999971</v>
      </c>
      <c r="J52" s="482">
        <v>31385463</v>
      </c>
      <c r="K52" s="491"/>
    </row>
    <row r="53" spans="1:13" s="469" customFormat="1" ht="17.25" customHeight="1" x14ac:dyDescent="0.45">
      <c r="A53" s="359" t="s">
        <v>127</v>
      </c>
      <c r="B53" s="493">
        <f>+B54+B55+B56</f>
        <v>20367.900000000009</v>
      </c>
      <c r="C53" s="494">
        <f>+C54+C55+C56</f>
        <v>33</v>
      </c>
      <c r="D53" s="495">
        <f t="shared" si="1"/>
        <v>20400.900000000009</v>
      </c>
      <c r="E53" s="496"/>
      <c r="F53" s="496"/>
      <c r="G53" s="497">
        <f t="shared" ref="G53:H62" si="3">+D53+E53-F53</f>
        <v>20400.900000000009</v>
      </c>
      <c r="H53" s="497">
        <v>-124884</v>
      </c>
      <c r="I53" s="498">
        <v>-427106.1</v>
      </c>
      <c r="J53" s="498">
        <v>-125654</v>
      </c>
      <c r="K53" s="474"/>
    </row>
    <row r="54" spans="1:13" s="469" customFormat="1" ht="17.25" customHeight="1" x14ac:dyDescent="0.45">
      <c r="A54" s="392" t="s">
        <v>128</v>
      </c>
      <c r="B54" s="499">
        <v>142043.35</v>
      </c>
      <c r="C54" s="464">
        <v>42</v>
      </c>
      <c r="D54" s="465">
        <f t="shared" si="1"/>
        <v>142085.35</v>
      </c>
      <c r="E54" s="466"/>
      <c r="F54" s="466"/>
      <c r="G54" s="500">
        <f t="shared" si="3"/>
        <v>142085.35</v>
      </c>
      <c r="H54" s="500">
        <v>17224</v>
      </c>
      <c r="I54" s="501">
        <v>11314.96</v>
      </c>
      <c r="J54" s="501">
        <v>20455</v>
      </c>
    </row>
    <row r="55" spans="1:13" s="469" customFormat="1" ht="17.25" customHeight="1" x14ac:dyDescent="0.45">
      <c r="A55" s="392" t="s">
        <v>171</v>
      </c>
      <c r="B55" s="499">
        <v>-114335.78</v>
      </c>
      <c r="C55" s="464">
        <v>-9</v>
      </c>
      <c r="D55" s="465">
        <f t="shared" si="1"/>
        <v>-114344.78</v>
      </c>
      <c r="E55" s="466"/>
      <c r="F55" s="466"/>
      <c r="G55" s="500">
        <f t="shared" si="3"/>
        <v>-114344.78</v>
      </c>
      <c r="H55" s="500">
        <v>-135686</v>
      </c>
      <c r="I55" s="501">
        <v>-436968.69</v>
      </c>
      <c r="J55" s="501">
        <v>-143694</v>
      </c>
    </row>
    <row r="56" spans="1:13" s="469" customFormat="1" ht="17.25" customHeight="1" x14ac:dyDescent="0.45">
      <c r="A56" s="392" t="s">
        <v>130</v>
      </c>
      <c r="B56" s="499">
        <v>-7339.67</v>
      </c>
      <c r="C56" s="464"/>
      <c r="D56" s="465">
        <f t="shared" si="1"/>
        <v>-7339.67</v>
      </c>
      <c r="E56" s="466"/>
      <c r="F56" s="466"/>
      <c r="G56" s="500">
        <f t="shared" si="3"/>
        <v>-7339.67</v>
      </c>
      <c r="H56" s="500">
        <v>-6421</v>
      </c>
      <c r="I56" s="501">
        <v>-1452.37</v>
      </c>
      <c r="J56" s="501">
        <v>-2415</v>
      </c>
    </row>
    <row r="57" spans="1:13" s="469" customFormat="1" ht="17.25" customHeight="1" x14ac:dyDescent="0.45">
      <c r="A57" s="359" t="s">
        <v>131</v>
      </c>
      <c r="B57" s="502">
        <f>B58+B59</f>
        <v>-1131.96</v>
      </c>
      <c r="C57" s="503">
        <v>0</v>
      </c>
      <c r="D57" s="495">
        <f t="shared" si="1"/>
        <v>-1131.96</v>
      </c>
      <c r="E57" s="496"/>
      <c r="F57" s="496"/>
      <c r="G57" s="497">
        <f t="shared" si="3"/>
        <v>-1131.96</v>
      </c>
      <c r="H57" s="497">
        <v>9612</v>
      </c>
      <c r="I57" s="498">
        <v>-10451.18</v>
      </c>
      <c r="J57" s="498">
        <v>17468</v>
      </c>
    </row>
    <row r="58" spans="1:13" s="469" customFormat="1" ht="17.25" customHeight="1" x14ac:dyDescent="0.45">
      <c r="A58" s="392" t="s">
        <v>132</v>
      </c>
      <c r="B58" s="499">
        <v>5000</v>
      </c>
      <c r="C58" s="464">
        <v>0</v>
      </c>
      <c r="D58" s="465">
        <f t="shared" si="1"/>
        <v>5000</v>
      </c>
      <c r="E58" s="466"/>
      <c r="F58" s="466"/>
      <c r="G58" s="500">
        <f t="shared" si="3"/>
        <v>5000</v>
      </c>
      <c r="H58" s="500">
        <v>9612</v>
      </c>
      <c r="I58" s="501">
        <v>0</v>
      </c>
      <c r="J58" s="501">
        <v>17468</v>
      </c>
    </row>
    <row r="59" spans="1:13" s="469" customFormat="1" ht="17.25" customHeight="1" x14ac:dyDescent="0.45">
      <c r="A59" s="392" t="s">
        <v>133</v>
      </c>
      <c r="B59" s="499">
        <v>-6131.96</v>
      </c>
      <c r="C59" s="464">
        <v>0</v>
      </c>
      <c r="D59" s="465">
        <f t="shared" si="1"/>
        <v>-6131.96</v>
      </c>
      <c r="E59" s="466"/>
      <c r="F59" s="466"/>
      <c r="G59" s="500">
        <f t="shared" si="3"/>
        <v>-6131.96</v>
      </c>
      <c r="H59" s="500">
        <f t="shared" si="3"/>
        <v>6131.96</v>
      </c>
      <c r="I59" s="501">
        <v>-10451.18</v>
      </c>
      <c r="J59" s="501">
        <v>0</v>
      </c>
    </row>
    <row r="60" spans="1:13" s="469" customFormat="1" ht="17.25" customHeight="1" x14ac:dyDescent="0.45">
      <c r="A60" s="359" t="s">
        <v>134</v>
      </c>
      <c r="B60" s="493">
        <f>B61+B62</f>
        <v>15166067.630000001</v>
      </c>
      <c r="C60" s="494">
        <f>C61+C62</f>
        <v>0</v>
      </c>
      <c r="D60" s="495">
        <f t="shared" si="1"/>
        <v>15166067.630000001</v>
      </c>
      <c r="E60" s="496"/>
      <c r="F60" s="496"/>
      <c r="G60" s="497">
        <f t="shared" si="3"/>
        <v>15166067.630000001</v>
      </c>
      <c r="H60" s="497">
        <v>34323523</v>
      </c>
      <c r="I60" s="498">
        <v>20775822.919999998</v>
      </c>
      <c r="J60" s="498">
        <v>13337815</v>
      </c>
    </row>
    <row r="61" spans="1:13" s="469" customFormat="1" ht="17.25" customHeight="1" x14ac:dyDescent="0.45">
      <c r="A61" s="392" t="s">
        <v>135</v>
      </c>
      <c r="B61" s="499">
        <v>15501384</v>
      </c>
      <c r="C61" s="504"/>
      <c r="D61" s="465">
        <f t="shared" si="1"/>
        <v>15501384</v>
      </c>
      <c r="E61" s="466"/>
      <c r="F61" s="466"/>
      <c r="G61" s="500">
        <f t="shared" si="3"/>
        <v>15501384</v>
      </c>
      <c r="H61" s="500">
        <v>34678133</v>
      </c>
      <c r="I61" s="501">
        <v>22085746.579999998</v>
      </c>
      <c r="J61" s="501">
        <v>13861089</v>
      </c>
    </row>
    <row r="62" spans="1:13" s="469" customFormat="1" ht="17.25" customHeight="1" x14ac:dyDescent="0.45">
      <c r="A62" s="392" t="s">
        <v>136</v>
      </c>
      <c r="B62" s="499">
        <v>-335316.37</v>
      </c>
      <c r="C62" s="504"/>
      <c r="D62" s="465">
        <f t="shared" si="1"/>
        <v>-335316.37</v>
      </c>
      <c r="E62" s="466"/>
      <c r="F62" s="466"/>
      <c r="G62" s="500">
        <f t="shared" si="3"/>
        <v>-335316.37</v>
      </c>
      <c r="H62" s="500">
        <v>-354610</v>
      </c>
      <c r="I62" s="501">
        <v>-1309923.6599999999</v>
      </c>
      <c r="J62" s="501">
        <v>-523274</v>
      </c>
    </row>
    <row r="63" spans="1:13" s="469" customFormat="1" ht="17.25" customHeight="1" x14ac:dyDescent="0.45">
      <c r="A63" s="392" t="s">
        <v>137</v>
      </c>
      <c r="B63" s="471">
        <f>B52+B53+B57+B60</f>
        <v>51656796.219999976</v>
      </c>
      <c r="C63" s="464">
        <f>C52+C53+C57+C60</f>
        <v>54650</v>
      </c>
      <c r="D63" s="465">
        <f>+B63+C63</f>
        <v>51711446.219999976</v>
      </c>
      <c r="E63" s="466"/>
      <c r="F63" s="466"/>
      <c r="G63" s="500">
        <f>G52+G53+G57+G60</f>
        <v>51711446.219999976</v>
      </c>
      <c r="H63" s="500">
        <v>87780577</v>
      </c>
      <c r="I63" s="501">
        <v>61841436.669999972</v>
      </c>
      <c r="J63" s="501">
        <v>44615092</v>
      </c>
    </row>
    <row r="64" spans="1:13" s="469" customFormat="1" ht="17.25" customHeight="1" x14ac:dyDescent="0.45">
      <c r="A64" s="359" t="s">
        <v>138</v>
      </c>
      <c r="B64" s="502">
        <v>17439499</v>
      </c>
      <c r="C64" s="503">
        <v>31791</v>
      </c>
      <c r="D64" s="495">
        <f t="shared" si="1"/>
        <v>17471290</v>
      </c>
      <c r="E64" s="496"/>
      <c r="F64" s="496"/>
      <c r="G64" s="497">
        <f>+D64+E64-F64</f>
        <v>17471290</v>
      </c>
      <c r="H64" s="497">
        <v>16160883</v>
      </c>
      <c r="I64" s="498">
        <v>15355621.029999999</v>
      </c>
      <c r="J64" s="498">
        <v>16212392</v>
      </c>
    </row>
    <row r="65" spans="1:10" s="512" customFormat="1" ht="17.25" customHeight="1" x14ac:dyDescent="0.45">
      <c r="A65" s="505"/>
      <c r="B65" s="506"/>
      <c r="C65" s="507"/>
      <c r="D65" s="508"/>
      <c r="E65" s="509"/>
      <c r="F65" s="509"/>
      <c r="G65" s="510"/>
      <c r="H65" s="510"/>
      <c r="I65" s="511"/>
      <c r="J65" s="511"/>
    </row>
    <row r="66" spans="1:10" ht="17.25" customHeight="1" thickBot="1" x14ac:dyDescent="0.5">
      <c r="A66" s="513" t="s">
        <v>139</v>
      </c>
      <c r="B66" s="514">
        <f>B63-B64+B65</f>
        <v>34217297.219999976</v>
      </c>
      <c r="C66" s="515">
        <f>C63-C64</f>
        <v>22859</v>
      </c>
      <c r="D66" s="516">
        <f>D63-D64+D65</f>
        <v>34240156.219999976</v>
      </c>
      <c r="E66" s="517">
        <f>+E52+E53+E57+E60+E64</f>
        <v>-1073654.1099999999</v>
      </c>
      <c r="F66" s="517">
        <f>+F52+F53+F57+F60+F64</f>
        <v>1073654.1099999999</v>
      </c>
      <c r="G66" s="518">
        <f>G63-G64+G65</f>
        <v>34240156.219999976</v>
      </c>
      <c r="H66" s="518">
        <f>H63-H64+H65</f>
        <v>71619694</v>
      </c>
      <c r="I66" s="519">
        <v>46485815.639999971</v>
      </c>
      <c r="J66" s="519">
        <v>28402700</v>
      </c>
    </row>
    <row r="67" spans="1:10" x14ac:dyDescent="0.45">
      <c r="B67" s="520"/>
      <c r="G67" s="491"/>
      <c r="H67" s="491"/>
      <c r="I67" s="491">
        <v>0</v>
      </c>
    </row>
    <row r="68" spans="1:10" x14ac:dyDescent="0.45">
      <c r="E68" s="520">
        <f>E18+E31+E63</f>
        <v>1097843.77</v>
      </c>
      <c r="F68" s="520">
        <f>F18+F31+F63</f>
        <v>1097843.77</v>
      </c>
      <c r="I68" s="456">
        <v>341664513.36000001</v>
      </c>
    </row>
  </sheetData>
  <mergeCells count="1">
    <mergeCell ref="A1:J1"/>
  </mergeCells>
  <pageMargins left="0.7" right="0.7" top="0.75" bottom="0.75" header="0.3" footer="0.3"/>
  <pageSetup paperSize="8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AB3C-DEE3-43BB-832A-40F28855A045}">
  <sheetPr>
    <tabColor rgb="FF00B050"/>
  </sheetPr>
  <dimension ref="A1:M36"/>
  <sheetViews>
    <sheetView showGridLines="0" zoomScale="82" zoomScaleNormal="82" workbookViewId="0">
      <selection sqref="A1:J34"/>
    </sheetView>
  </sheetViews>
  <sheetFormatPr defaultColWidth="9.1796875" defaultRowHeight="18.5" x14ac:dyDescent="0.45"/>
  <cols>
    <col min="1" max="1" width="70.7265625" style="456" customWidth="1"/>
    <col min="2" max="3" width="18.453125" style="456" customWidth="1"/>
    <col min="4" max="4" width="18.453125" style="520" customWidth="1"/>
    <col min="5" max="5" width="14.81640625" style="520" customWidth="1"/>
    <col min="6" max="6" width="16.453125" style="520" customWidth="1"/>
    <col min="7" max="8" width="19.7265625" style="456" customWidth="1"/>
    <col min="9" max="9" width="16" style="456" hidden="1" customWidth="1"/>
    <col min="10" max="10" width="16.1796875" style="521" hidden="1" customWidth="1"/>
    <col min="11" max="11" width="15.453125" style="456" customWidth="1"/>
    <col min="12" max="12" width="12.26953125" style="456" bestFit="1" customWidth="1"/>
    <col min="13" max="13" width="13" style="456" bestFit="1" customWidth="1"/>
    <col min="14" max="16384" width="9.1796875" style="456"/>
  </cols>
  <sheetData>
    <row r="1" spans="1:11" s="345" customFormat="1" ht="29.25" customHeight="1" thickBot="1" x14ac:dyDescent="0.3">
      <c r="A1" s="608" t="s">
        <v>155</v>
      </c>
      <c r="B1" s="603"/>
      <c r="C1" s="603"/>
      <c r="D1" s="603"/>
      <c r="E1" s="603"/>
      <c r="F1" s="603"/>
      <c r="G1" s="603"/>
      <c r="H1" s="603"/>
      <c r="I1" s="603"/>
      <c r="J1" s="604"/>
    </row>
    <row r="2" spans="1:11" ht="56.5" customHeight="1" thickBot="1" x14ac:dyDescent="0.5">
      <c r="A2" s="346" t="s">
        <v>76</v>
      </c>
      <c r="B2" s="346" t="s">
        <v>71</v>
      </c>
      <c r="C2" s="348" t="s">
        <v>72</v>
      </c>
      <c r="D2" s="349" t="s">
        <v>73</v>
      </c>
      <c r="E2" s="350" t="s">
        <v>156</v>
      </c>
      <c r="F2" s="350" t="s">
        <v>162</v>
      </c>
      <c r="G2" s="351" t="s">
        <v>201</v>
      </c>
      <c r="H2" s="351" t="s">
        <v>187</v>
      </c>
      <c r="I2" s="455" t="s">
        <v>154</v>
      </c>
      <c r="J2" s="455" t="s">
        <v>161</v>
      </c>
    </row>
    <row r="3" spans="1:11" ht="17.25" customHeight="1" x14ac:dyDescent="0.45">
      <c r="A3" s="457" t="s">
        <v>77</v>
      </c>
      <c r="B3" s="458"/>
      <c r="C3" s="459"/>
      <c r="D3" s="460"/>
      <c r="E3" s="461"/>
      <c r="F3" s="461"/>
      <c r="G3" s="462"/>
      <c r="H3" s="462"/>
      <c r="I3" s="463"/>
      <c r="J3" s="463"/>
    </row>
    <row r="4" spans="1:11" s="469" customFormat="1" ht="17.25" customHeight="1" x14ac:dyDescent="0.45">
      <c r="A4" s="392" t="s">
        <v>78</v>
      </c>
      <c r="B4" s="389">
        <v>196800562.55000001</v>
      </c>
      <c r="C4" s="464">
        <v>150540</v>
      </c>
      <c r="D4" s="465">
        <f>+B4+C4</f>
        <v>196951102.55000001</v>
      </c>
      <c r="E4" s="466"/>
      <c r="F4" s="466"/>
      <c r="G4" s="467">
        <f t="shared" ref="G4:G6" si="0">+D4+E4-F4</f>
        <v>196951102.55000001</v>
      </c>
      <c r="H4" s="467">
        <v>165926419.28</v>
      </c>
      <c r="I4" s="468">
        <v>143994941.55000001</v>
      </c>
      <c r="J4" s="468">
        <v>159060097</v>
      </c>
    </row>
    <row r="5" spans="1:11" s="469" customFormat="1" ht="17.25" customHeight="1" x14ac:dyDescent="0.45">
      <c r="A5" s="392" t="s">
        <v>82</v>
      </c>
      <c r="B5" s="389">
        <v>453897331.93000001</v>
      </c>
      <c r="C5" s="464">
        <v>0</v>
      </c>
      <c r="D5" s="465">
        <f t="shared" ref="D5:D32" si="1">+B5+C5</f>
        <v>453897331.93000001</v>
      </c>
      <c r="E5" s="466"/>
      <c r="F5" s="466"/>
      <c r="G5" s="467">
        <f t="shared" si="0"/>
        <v>453897331.93000001</v>
      </c>
      <c r="H5" s="467">
        <v>463616495.29000002</v>
      </c>
      <c r="I5" s="468">
        <v>333092651.69999999</v>
      </c>
      <c r="J5" s="468">
        <v>346162078</v>
      </c>
    </row>
    <row r="6" spans="1:11" s="469" customFormat="1" ht="17.25" customHeight="1" x14ac:dyDescent="0.45">
      <c r="A6" s="392" t="s">
        <v>206</v>
      </c>
      <c r="B6" s="472">
        <v>27603782.530000001</v>
      </c>
      <c r="C6" s="464">
        <v>0</v>
      </c>
      <c r="D6" s="465">
        <f>+B6+C6</f>
        <v>27603782.530000001</v>
      </c>
      <c r="E6" s="466"/>
      <c r="F6" s="466"/>
      <c r="G6" s="467">
        <f t="shared" si="0"/>
        <v>27603782.530000001</v>
      </c>
      <c r="H6" s="467">
        <v>25715616.690000001</v>
      </c>
      <c r="I6" s="468">
        <v>10945332.82</v>
      </c>
      <c r="J6" s="468">
        <v>14979201</v>
      </c>
    </row>
    <row r="7" spans="1:11" s="469" customFormat="1" ht="17.25" customHeight="1" x14ac:dyDescent="0.45">
      <c r="A7" s="392" t="s">
        <v>207</v>
      </c>
      <c r="B7" s="472">
        <v>21973059.920000002</v>
      </c>
      <c r="C7" s="464">
        <v>2250518</v>
      </c>
      <c r="D7" s="465">
        <f>+B7+C7</f>
        <v>24223577.920000002</v>
      </c>
      <c r="E7" s="473">
        <v>354</v>
      </c>
      <c r="F7" s="466">
        <v>2099045</v>
      </c>
      <c r="G7" s="467">
        <f>+D7-E7-F7</f>
        <v>22124178.920000002</v>
      </c>
      <c r="H7" s="467">
        <v>21282678.48</v>
      </c>
      <c r="I7" s="468">
        <v>42037994.969999999</v>
      </c>
      <c r="J7" s="468">
        <v>31301272</v>
      </c>
      <c r="K7" s="474">
        <f>F7-E15</f>
        <v>0</v>
      </c>
    </row>
    <row r="8" spans="1:11" s="469" customFormat="1" ht="17.25" customHeight="1" x14ac:dyDescent="0.45">
      <c r="A8" s="392" t="s">
        <v>208</v>
      </c>
      <c r="B8" s="475">
        <v>0</v>
      </c>
      <c r="C8" s="464">
        <v>0</v>
      </c>
      <c r="D8" s="465">
        <f t="shared" si="1"/>
        <v>0</v>
      </c>
      <c r="E8" s="466"/>
      <c r="F8" s="466"/>
      <c r="G8" s="467">
        <f>+D8+E8-F8</f>
        <v>0</v>
      </c>
      <c r="H8" s="467">
        <v>0</v>
      </c>
      <c r="I8" s="468">
        <v>0</v>
      </c>
      <c r="J8" s="468">
        <v>0</v>
      </c>
    </row>
    <row r="9" spans="1:11" s="469" customFormat="1" ht="17.25" customHeight="1" x14ac:dyDescent="0.45">
      <c r="A9" s="392" t="s">
        <v>209</v>
      </c>
      <c r="B9" s="472">
        <v>0</v>
      </c>
      <c r="C9" s="464">
        <v>0</v>
      </c>
      <c r="D9" s="465">
        <f>+B9+C9</f>
        <v>0</v>
      </c>
      <c r="E9" s="466"/>
      <c r="F9" s="466"/>
      <c r="G9" s="467">
        <f>+D9+E9-F9</f>
        <v>0</v>
      </c>
      <c r="H9" s="467">
        <v>19044</v>
      </c>
      <c r="I9" s="468">
        <v>0</v>
      </c>
      <c r="J9" s="468">
        <v>513718</v>
      </c>
    </row>
    <row r="10" spans="1:11" ht="17.25" customHeight="1" x14ac:dyDescent="0.45">
      <c r="A10" s="476" t="s">
        <v>95</v>
      </c>
      <c r="B10" s="477">
        <f>B4+B5+B6+B7+B8+B9</f>
        <v>700274736.92999995</v>
      </c>
      <c r="C10" s="478">
        <f>C4+C5+C6+C7+C8+C9</f>
        <v>2401058</v>
      </c>
      <c r="D10" s="479">
        <f>+B10+C10</f>
        <v>702675794.92999995</v>
      </c>
      <c r="E10" s="480">
        <f>SUM(E4:E9)</f>
        <v>354</v>
      </c>
      <c r="F10" s="480">
        <f>SUM(F4:F9)</f>
        <v>2099045</v>
      </c>
      <c r="G10" s="481">
        <f>+D10-E10-F10</f>
        <v>700576395.92999995</v>
      </c>
      <c r="H10" s="481">
        <f>H4+H5+H6+H7+H8+H9</f>
        <v>676560253.74000013</v>
      </c>
      <c r="I10" s="482">
        <v>530070921.03999996</v>
      </c>
      <c r="J10" s="482">
        <v>552016366</v>
      </c>
    </row>
    <row r="11" spans="1:11" ht="17.25" customHeight="1" x14ac:dyDescent="0.45">
      <c r="A11" s="359" t="s">
        <v>96</v>
      </c>
      <c r="B11" s="483"/>
      <c r="C11" s="484"/>
      <c r="D11" s="485">
        <f t="shared" si="1"/>
        <v>0</v>
      </c>
      <c r="E11" s="486"/>
      <c r="F11" s="486"/>
      <c r="G11" s="487">
        <f>+D11+E11-F11</f>
        <v>0</v>
      </c>
      <c r="H11" s="487">
        <f>+E11+F11-G11</f>
        <v>0</v>
      </c>
      <c r="I11" s="488">
        <v>0</v>
      </c>
      <c r="J11" s="488">
        <v>0</v>
      </c>
    </row>
    <row r="12" spans="1:11" s="469" customFormat="1" ht="17.25" customHeight="1" x14ac:dyDescent="0.45">
      <c r="A12" s="392" t="s">
        <v>210</v>
      </c>
      <c r="B12" s="389">
        <f>B14+B13</f>
        <v>365227215.92999995</v>
      </c>
      <c r="C12" s="431">
        <f>C13+C14</f>
        <v>582234</v>
      </c>
      <c r="D12" s="465">
        <f t="shared" si="1"/>
        <v>365809449.92999995</v>
      </c>
      <c r="E12" s="466"/>
      <c r="F12" s="466"/>
      <c r="G12" s="489">
        <f t="shared" ref="G12:G19" si="2">+D12-E12-F12</f>
        <v>365809449.92999995</v>
      </c>
      <c r="H12" s="489">
        <v>319233146.64999998</v>
      </c>
      <c r="I12" s="490">
        <v>254547178.16000003</v>
      </c>
      <c r="J12" s="490">
        <v>270749949</v>
      </c>
    </row>
    <row r="13" spans="1:11" s="469" customFormat="1" ht="17.25" customHeight="1" x14ac:dyDescent="0.45">
      <c r="A13" s="392" t="s">
        <v>98</v>
      </c>
      <c r="B13" s="389">
        <v>273729520.33999997</v>
      </c>
      <c r="C13" s="464">
        <v>0</v>
      </c>
      <c r="D13" s="465">
        <f t="shared" si="1"/>
        <v>273729520.33999997</v>
      </c>
      <c r="E13" s="466"/>
      <c r="F13" s="466"/>
      <c r="G13" s="489">
        <f t="shared" si="2"/>
        <v>273729520.33999997</v>
      </c>
      <c r="H13" s="489">
        <v>238185107.15000001</v>
      </c>
      <c r="I13" s="490">
        <v>183576670.23000002</v>
      </c>
      <c r="J13" s="490">
        <v>197093922</v>
      </c>
    </row>
    <row r="14" spans="1:11" s="469" customFormat="1" ht="17.25" customHeight="1" x14ac:dyDescent="0.45">
      <c r="A14" s="392" t="s">
        <v>104</v>
      </c>
      <c r="B14" s="499">
        <v>91497695.590000004</v>
      </c>
      <c r="C14" s="585">
        <v>582234</v>
      </c>
      <c r="D14" s="465">
        <f t="shared" si="1"/>
        <v>92079929.590000004</v>
      </c>
      <c r="E14" s="466"/>
      <c r="F14" s="466"/>
      <c r="G14" s="489">
        <f t="shared" si="2"/>
        <v>92079929.590000004</v>
      </c>
      <c r="H14" s="489">
        <v>81048039.5</v>
      </c>
      <c r="I14" s="490">
        <v>70499628.930000007</v>
      </c>
      <c r="J14" s="490">
        <v>73209593</v>
      </c>
    </row>
    <row r="15" spans="1:11" s="469" customFormat="1" ht="17.25" customHeight="1" x14ac:dyDescent="0.45">
      <c r="A15" s="392" t="s">
        <v>211</v>
      </c>
      <c r="B15" s="430">
        <v>288342051.07999998</v>
      </c>
      <c r="C15" s="586">
        <f>46878+1683209+31773</f>
        <v>1761860</v>
      </c>
      <c r="D15" s="465">
        <f t="shared" si="1"/>
        <v>290103911.07999998</v>
      </c>
      <c r="E15" s="466">
        <v>2099045</v>
      </c>
      <c r="F15" s="473">
        <v>354</v>
      </c>
      <c r="G15" s="489">
        <f t="shared" si="2"/>
        <v>288004512.07999998</v>
      </c>
      <c r="H15" s="489">
        <v>267418445.61999997</v>
      </c>
      <c r="I15" s="490">
        <v>183878398.08999997</v>
      </c>
      <c r="J15" s="490">
        <v>198164251</v>
      </c>
    </row>
    <row r="16" spans="1:11" s="469" customFormat="1" ht="17.25" customHeight="1" x14ac:dyDescent="0.45">
      <c r="A16" s="392" t="s">
        <v>212</v>
      </c>
      <c r="B16" s="389">
        <v>30651514.84</v>
      </c>
      <c r="C16" s="586">
        <v>18811</v>
      </c>
      <c r="D16" s="465">
        <f t="shared" si="1"/>
        <v>30670325.84</v>
      </c>
      <c r="E16" s="466"/>
      <c r="F16" s="466"/>
      <c r="G16" s="489">
        <f t="shared" si="2"/>
        <v>30670325.84</v>
      </c>
      <c r="H16" s="489">
        <v>28220948.460000001</v>
      </c>
      <c r="I16" s="490">
        <v>22406633.130000003</v>
      </c>
      <c r="J16" s="490">
        <v>23643327</v>
      </c>
    </row>
    <row r="17" spans="1:13" s="469" customFormat="1" ht="17.25" customHeight="1" x14ac:dyDescent="0.45">
      <c r="A17" s="392" t="s">
        <v>213</v>
      </c>
      <c r="B17" s="472">
        <v>8254904.3799999999</v>
      </c>
      <c r="C17" s="587">
        <v>0</v>
      </c>
      <c r="D17" s="465">
        <f t="shared" si="1"/>
        <v>8254904.3799999999</v>
      </c>
      <c r="E17" s="466"/>
      <c r="F17" s="466"/>
      <c r="G17" s="489">
        <f t="shared" si="2"/>
        <v>8254904.3799999999</v>
      </c>
      <c r="H17" s="489">
        <v>17718198.77</v>
      </c>
      <c r="I17" s="490">
        <v>26335278.77</v>
      </c>
      <c r="J17" s="490">
        <v>26563370</v>
      </c>
      <c r="K17" s="474"/>
    </row>
    <row r="18" spans="1:13" s="469" customFormat="1" ht="17.25" customHeight="1" x14ac:dyDescent="0.45">
      <c r="A18" s="392" t="s">
        <v>214</v>
      </c>
      <c r="B18" s="472">
        <v>1979853.75</v>
      </c>
      <c r="C18" s="587">
        <v>31140</v>
      </c>
      <c r="D18" s="465">
        <f t="shared" si="1"/>
        <v>2010993.75</v>
      </c>
      <c r="E18" s="466"/>
      <c r="F18" s="466"/>
      <c r="G18" s="489">
        <f t="shared" si="2"/>
        <v>2010993.75</v>
      </c>
      <c r="H18" s="489">
        <v>2259203.86</v>
      </c>
      <c r="I18" s="490">
        <v>1400261.86</v>
      </c>
      <c r="J18" s="490">
        <v>1510006</v>
      </c>
    </row>
    <row r="19" spans="1:13" ht="17.25" customHeight="1" x14ac:dyDescent="0.45">
      <c r="A19" s="476" t="s">
        <v>125</v>
      </c>
      <c r="B19" s="477">
        <f>B12+B15+B16+B17+B18</f>
        <v>694455539.98000002</v>
      </c>
      <c r="C19" s="478">
        <f>C12+C15+C16+C17+C18</f>
        <v>2394045</v>
      </c>
      <c r="D19" s="479">
        <f>+B19+C19</f>
        <v>696849584.98000002</v>
      </c>
      <c r="E19" s="480">
        <f>E13+E14+E15+E16+E17+E18</f>
        <v>2099045</v>
      </c>
      <c r="F19" s="480">
        <f>SUM(F12:F18)</f>
        <v>354</v>
      </c>
      <c r="G19" s="481">
        <f t="shared" si="2"/>
        <v>694750185.98000002</v>
      </c>
      <c r="H19" s="481">
        <f>+H12+H15+H16+H17+H18</f>
        <v>634849943.36000001</v>
      </c>
      <c r="I19" s="482">
        <v>488567750.00999999</v>
      </c>
      <c r="J19" s="482">
        <v>520630903</v>
      </c>
      <c r="K19" s="491"/>
      <c r="L19" s="491"/>
      <c r="M19" s="491"/>
    </row>
    <row r="20" spans="1:13" ht="17.25" customHeight="1" x14ac:dyDescent="0.45">
      <c r="A20" s="492" t="s">
        <v>126</v>
      </c>
      <c r="B20" s="477">
        <f>B10-B19</f>
        <v>5819196.9499999285</v>
      </c>
      <c r="C20" s="478">
        <f>C10-C19</f>
        <v>7013</v>
      </c>
      <c r="D20" s="479">
        <f>+B20+C20</f>
        <v>5826209.9499999285</v>
      </c>
      <c r="E20" s="480">
        <f>E10-E19</f>
        <v>-2098691</v>
      </c>
      <c r="F20" s="480">
        <f>F10-F19</f>
        <v>2098691</v>
      </c>
      <c r="G20" s="481">
        <f>+G10-G19</f>
        <v>5826209.9499999285</v>
      </c>
      <c r="H20" s="481">
        <f>+H10-H19</f>
        <v>41710310.380000114</v>
      </c>
      <c r="I20" s="482">
        <v>41503171.029999971</v>
      </c>
      <c r="J20" s="482">
        <v>31385463</v>
      </c>
      <c r="K20" s="491"/>
    </row>
    <row r="21" spans="1:13" s="469" customFormat="1" ht="17.25" customHeight="1" x14ac:dyDescent="0.45">
      <c r="A21" s="359" t="s">
        <v>127</v>
      </c>
      <c r="B21" s="493">
        <f>+B22+B23+B24</f>
        <v>-63833.13</v>
      </c>
      <c r="C21" s="494">
        <f>+C22+C23+C24</f>
        <v>30348</v>
      </c>
      <c r="D21" s="495">
        <f t="shared" si="1"/>
        <v>-33485.129999999997</v>
      </c>
      <c r="E21" s="496"/>
      <c r="F21" s="496"/>
      <c r="G21" s="497">
        <f t="shared" ref="G21:G30" si="3">+D21+E21-F21</f>
        <v>-33485.129999999997</v>
      </c>
      <c r="H21" s="497">
        <f>SUM(H22:H24)</f>
        <v>-87674.75</v>
      </c>
      <c r="I21" s="498">
        <v>-427106.1</v>
      </c>
      <c r="J21" s="498">
        <v>-125654</v>
      </c>
      <c r="K21" s="474"/>
    </row>
    <row r="22" spans="1:13" s="469" customFormat="1" ht="17.25" customHeight="1" x14ac:dyDescent="0.45">
      <c r="A22" s="392" t="s">
        <v>128</v>
      </c>
      <c r="B22" s="499">
        <v>63326.13</v>
      </c>
      <c r="C22" s="464">
        <v>30348</v>
      </c>
      <c r="D22" s="465">
        <f t="shared" si="1"/>
        <v>93674.13</v>
      </c>
      <c r="E22" s="466"/>
      <c r="F22" s="466"/>
      <c r="G22" s="500">
        <f t="shared" si="3"/>
        <v>93674.13</v>
      </c>
      <c r="H22" s="500">
        <v>44183.16</v>
      </c>
      <c r="I22" s="501">
        <v>11314.96</v>
      </c>
      <c r="J22" s="501">
        <v>20455</v>
      </c>
    </row>
    <row r="23" spans="1:13" s="469" customFormat="1" ht="17.25" customHeight="1" x14ac:dyDescent="0.45">
      <c r="A23" s="392" t="s">
        <v>171</v>
      </c>
      <c r="B23" s="499">
        <v>-123292.59</v>
      </c>
      <c r="C23" s="464">
        <v>0</v>
      </c>
      <c r="D23" s="465">
        <f t="shared" si="1"/>
        <v>-123292.59</v>
      </c>
      <c r="E23" s="466"/>
      <c r="F23" s="466"/>
      <c r="G23" s="500">
        <f t="shared" si="3"/>
        <v>-123292.59</v>
      </c>
      <c r="H23" s="500">
        <v>-129192.71</v>
      </c>
      <c r="I23" s="501">
        <v>-436968.69</v>
      </c>
      <c r="J23" s="501">
        <v>-143694</v>
      </c>
    </row>
    <row r="24" spans="1:13" s="469" customFormat="1" ht="17.25" customHeight="1" x14ac:dyDescent="0.45">
      <c r="A24" s="392" t="s">
        <v>130</v>
      </c>
      <c r="B24" s="499">
        <v>-3866.67</v>
      </c>
      <c r="C24" s="464">
        <v>0</v>
      </c>
      <c r="D24" s="465">
        <f t="shared" si="1"/>
        <v>-3866.67</v>
      </c>
      <c r="E24" s="466"/>
      <c r="F24" s="466"/>
      <c r="G24" s="500">
        <f t="shared" si="3"/>
        <v>-3866.67</v>
      </c>
      <c r="H24" s="500">
        <v>-2665.2</v>
      </c>
      <c r="I24" s="501">
        <v>-1452.37</v>
      </c>
      <c r="J24" s="501">
        <v>-2415</v>
      </c>
    </row>
    <row r="25" spans="1:13" s="469" customFormat="1" ht="17.25" customHeight="1" x14ac:dyDescent="0.45">
      <c r="A25" s="359" t="s">
        <v>131</v>
      </c>
      <c r="B25" s="502">
        <f>B26+B27</f>
        <v>1540.34</v>
      </c>
      <c r="C25" s="494">
        <f>-C26+C27</f>
        <v>0</v>
      </c>
      <c r="D25" s="495">
        <f t="shared" si="1"/>
        <v>1540.34</v>
      </c>
      <c r="E25" s="496"/>
      <c r="F25" s="496"/>
      <c r="G25" s="497">
        <f t="shared" si="3"/>
        <v>1540.34</v>
      </c>
      <c r="H25" s="497">
        <f>SUM(H26:H27)</f>
        <v>1890.67</v>
      </c>
      <c r="I25" s="498">
        <v>-10451.18</v>
      </c>
      <c r="J25" s="498">
        <v>17468</v>
      </c>
    </row>
    <row r="26" spans="1:13" s="469" customFormat="1" ht="17.25" customHeight="1" x14ac:dyDescent="0.45">
      <c r="A26" s="392" t="s">
        <v>132</v>
      </c>
      <c r="B26" s="499">
        <v>1540.34</v>
      </c>
      <c r="C26" s="464">
        <v>0</v>
      </c>
      <c r="D26" s="465">
        <f t="shared" si="1"/>
        <v>1540.34</v>
      </c>
      <c r="E26" s="466"/>
      <c r="F26" s="466"/>
      <c r="G26" s="500">
        <f t="shared" si="3"/>
        <v>1540.34</v>
      </c>
      <c r="H26" s="500">
        <v>6890.67</v>
      </c>
      <c r="I26" s="501">
        <v>0</v>
      </c>
      <c r="J26" s="501">
        <v>17468</v>
      </c>
    </row>
    <row r="27" spans="1:13" s="469" customFormat="1" ht="17.25" customHeight="1" x14ac:dyDescent="0.45">
      <c r="A27" s="392" t="s">
        <v>133</v>
      </c>
      <c r="B27" s="499">
        <v>0</v>
      </c>
      <c r="C27" s="464">
        <v>0</v>
      </c>
      <c r="D27" s="465">
        <f>+B27+C27</f>
        <v>0</v>
      </c>
      <c r="E27" s="466"/>
      <c r="F27" s="466"/>
      <c r="G27" s="500">
        <f t="shared" si="3"/>
        <v>0</v>
      </c>
      <c r="H27" s="500">
        <v>-5000</v>
      </c>
      <c r="I27" s="501">
        <v>-10451.18</v>
      </c>
      <c r="J27" s="501">
        <v>0</v>
      </c>
    </row>
    <row r="28" spans="1:13" s="469" customFormat="1" ht="17.25" customHeight="1" x14ac:dyDescent="0.45">
      <c r="A28" s="359" t="s">
        <v>134</v>
      </c>
      <c r="B28" s="493">
        <f>B29+B30</f>
        <v>21801023.280000001</v>
      </c>
      <c r="C28" s="494">
        <f>C29+C30</f>
        <v>0</v>
      </c>
      <c r="D28" s="495">
        <f t="shared" si="1"/>
        <v>21801023.280000001</v>
      </c>
      <c r="E28" s="496"/>
      <c r="F28" s="496"/>
      <c r="G28" s="497">
        <f t="shared" si="3"/>
        <v>21801023.280000001</v>
      </c>
      <c r="H28" s="497">
        <f>SUM(H29:H30)</f>
        <v>9366369.120000001</v>
      </c>
      <c r="I28" s="498">
        <v>20775822.919999998</v>
      </c>
      <c r="J28" s="498">
        <v>13337815</v>
      </c>
    </row>
    <row r="29" spans="1:13" s="469" customFormat="1" ht="17.25" customHeight="1" x14ac:dyDescent="0.45">
      <c r="A29" s="392" t="s">
        <v>135</v>
      </c>
      <c r="B29" s="499">
        <v>22376486.66</v>
      </c>
      <c r="C29" s="504"/>
      <c r="D29" s="465">
        <f t="shared" si="1"/>
        <v>22376486.66</v>
      </c>
      <c r="E29" s="466"/>
      <c r="F29" s="466"/>
      <c r="G29" s="500">
        <f t="shared" si="3"/>
        <v>22376486.66</v>
      </c>
      <c r="H29" s="500">
        <v>18780033.530000001</v>
      </c>
      <c r="I29" s="501">
        <v>22085746.579999998</v>
      </c>
      <c r="J29" s="501">
        <v>13861089</v>
      </c>
    </row>
    <row r="30" spans="1:13" s="469" customFormat="1" ht="17.25" customHeight="1" x14ac:dyDescent="0.45">
      <c r="A30" s="392" t="s">
        <v>136</v>
      </c>
      <c r="B30" s="499">
        <v>-575463.38</v>
      </c>
      <c r="C30" s="504"/>
      <c r="D30" s="465">
        <f t="shared" si="1"/>
        <v>-575463.38</v>
      </c>
      <c r="E30" s="466"/>
      <c r="F30" s="466"/>
      <c r="G30" s="500">
        <f t="shared" si="3"/>
        <v>-575463.38</v>
      </c>
      <c r="H30" s="500">
        <v>-9413664.4100000001</v>
      </c>
      <c r="I30" s="501">
        <v>-1309923.6599999999</v>
      </c>
      <c r="J30" s="501">
        <v>-523274</v>
      </c>
    </row>
    <row r="31" spans="1:13" s="469" customFormat="1" ht="17.25" customHeight="1" x14ac:dyDescent="0.45">
      <c r="A31" s="392" t="s">
        <v>137</v>
      </c>
      <c r="B31" s="471">
        <f>B20+B21+B25+B28</f>
        <v>27557927.439999931</v>
      </c>
      <c r="C31" s="464">
        <f>C20+C21+C25+C28</f>
        <v>37361</v>
      </c>
      <c r="D31" s="465">
        <f>+B31+C31</f>
        <v>27595288.439999931</v>
      </c>
      <c r="E31" s="466"/>
      <c r="F31" s="466"/>
      <c r="G31" s="500">
        <f>G20+G21+G25+G28</f>
        <v>27595288.439999931</v>
      </c>
      <c r="H31" s="500">
        <v>50990895.420000121</v>
      </c>
      <c r="I31" s="501">
        <v>61841436.669999972</v>
      </c>
      <c r="J31" s="501">
        <v>44615092</v>
      </c>
    </row>
    <row r="32" spans="1:13" s="469" customFormat="1" ht="17.25" customHeight="1" x14ac:dyDescent="0.45">
      <c r="A32" s="359" t="s">
        <v>138</v>
      </c>
      <c r="B32" s="502">
        <v>20832523.170000002</v>
      </c>
      <c r="C32" s="503">
        <v>27112</v>
      </c>
      <c r="D32" s="495">
        <f t="shared" si="1"/>
        <v>20859635.170000002</v>
      </c>
      <c r="E32" s="496"/>
      <c r="F32" s="496"/>
      <c r="G32" s="497">
        <f>+D32+E32-F32</f>
        <v>20859635.170000002</v>
      </c>
      <c r="H32" s="497">
        <v>18973257.48</v>
      </c>
      <c r="I32" s="498">
        <v>15355621.029999999</v>
      </c>
      <c r="J32" s="498">
        <v>16212392</v>
      </c>
    </row>
    <row r="33" spans="1:10" s="512" customFormat="1" ht="17.25" customHeight="1" x14ac:dyDescent="0.45">
      <c r="A33" s="505"/>
      <c r="B33" s="506"/>
      <c r="C33" s="507"/>
      <c r="D33" s="508"/>
      <c r="E33" s="509"/>
      <c r="F33" s="509"/>
      <c r="G33" s="510"/>
      <c r="H33" s="510"/>
      <c r="I33" s="511"/>
      <c r="J33" s="511"/>
    </row>
    <row r="34" spans="1:10" ht="17.25" customHeight="1" thickBot="1" x14ac:dyDescent="0.5">
      <c r="A34" s="513" t="s">
        <v>139</v>
      </c>
      <c r="B34" s="514">
        <f>B31-B32+B33</f>
        <v>6725404.2699999288</v>
      </c>
      <c r="C34" s="515">
        <f>C31-C32</f>
        <v>10249</v>
      </c>
      <c r="D34" s="516">
        <f>D31-D32+D33</f>
        <v>6735653.2699999288</v>
      </c>
      <c r="E34" s="517">
        <f>+E20+E21+E25+E28+E32</f>
        <v>-2098691</v>
      </c>
      <c r="F34" s="517">
        <f>+F20+F21+F25+F28+F32</f>
        <v>2098691</v>
      </c>
      <c r="G34" s="518">
        <f>G31-G32+G33</f>
        <v>6735653.2699999288</v>
      </c>
      <c r="H34" s="518">
        <f>H31-H32+H33</f>
        <v>32017637.940000121</v>
      </c>
      <c r="I34" s="519">
        <v>46485815.639999971</v>
      </c>
      <c r="J34" s="519">
        <v>28402700</v>
      </c>
    </row>
    <row r="35" spans="1:10" x14ac:dyDescent="0.45">
      <c r="B35" s="520"/>
      <c r="G35" s="491"/>
      <c r="H35" s="491"/>
      <c r="I35" s="491">
        <v>0</v>
      </c>
    </row>
    <row r="36" spans="1:10" x14ac:dyDescent="0.45">
      <c r="E36" s="520">
        <f>E7+E15+E31</f>
        <v>2099399</v>
      </c>
      <c r="F36" s="520">
        <f>F7+F15+F31</f>
        <v>2099399</v>
      </c>
      <c r="I36" s="456">
        <v>341664513.36000001</v>
      </c>
    </row>
  </sheetData>
  <mergeCells count="1">
    <mergeCell ref="A1:J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</vt:i4>
      </vt:variant>
    </vt:vector>
  </HeadingPairs>
  <TitlesOfParts>
    <vt:vector size="19" baseType="lpstr">
      <vt:lpstr>SP 2018</vt:lpstr>
      <vt:lpstr>SP 2019</vt:lpstr>
      <vt:lpstr>SP 2020</vt:lpstr>
      <vt:lpstr>SP 2021</vt:lpstr>
      <vt:lpstr>SP 2024</vt:lpstr>
      <vt:lpstr>CE 2 2019</vt:lpstr>
      <vt:lpstr>CE 2020</vt:lpstr>
      <vt:lpstr>CE 2021</vt:lpstr>
      <vt:lpstr>CE 2024</vt:lpstr>
      <vt:lpstr>Moduli</vt:lpstr>
      <vt:lpstr>dati bilancio sintetici 2019</vt:lpstr>
      <vt:lpstr>dati bilancio sintetici 2020</vt:lpstr>
      <vt:lpstr>dati bilancio sintetici 2021</vt:lpstr>
      <vt:lpstr>dati bilancio sintetici 2022</vt:lpstr>
      <vt:lpstr>Rettifiche consolidamento 2019</vt:lpstr>
      <vt:lpstr>Rettifiche consolidamento 2020</vt:lpstr>
      <vt:lpstr>Rettifiche consolidamento 2021</vt:lpstr>
      <vt:lpstr>Rettifiche consolidamento 2022</vt:lpstr>
      <vt:lpstr>'CE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MANFREDI TIZIANA</dc:creator>
  <cp:lastModifiedBy>Antonino Malaspina</cp:lastModifiedBy>
  <cp:lastPrinted>2024-07-23T09:09:10Z</cp:lastPrinted>
  <dcterms:created xsi:type="dcterms:W3CDTF">2018-07-04T14:52:13Z</dcterms:created>
  <dcterms:modified xsi:type="dcterms:W3CDTF">2025-06-10T10:26:52Z</dcterms:modified>
</cp:coreProperties>
</file>